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270" activeTab="0"/>
  </bookViews>
  <sheets>
    <sheet name="dettaglio finanziat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'dettaglio finanziati'!$2:$3</definedName>
  </definedNames>
  <calcPr fullCalcOnLoad="1"/>
</workbook>
</file>

<file path=xl/sharedStrings.xml><?xml version="1.0" encoding="utf-8"?>
<sst xmlns="http://schemas.openxmlformats.org/spreadsheetml/2006/main" count="884" uniqueCount="350">
  <si>
    <t xml:space="preserve">MISURA E AZIONE </t>
  </si>
  <si>
    <t>BENEFICIARIO</t>
  </si>
  <si>
    <t xml:space="preserve">Misura 411 Attuazione di strategie locali per la  competitività </t>
  </si>
  <si>
    <t>MANGOLINI GIULIANO</t>
  </si>
  <si>
    <t>Progetto di innovazione dell'azienda agricola</t>
  </si>
  <si>
    <t>SOCIETA' AGRICOLA RANDI S.S.</t>
  </si>
  <si>
    <t>Progetto di miglioramento sulla sicurezza sul lavoro, introduzione di nuove tecnologie per migliorare la redditività aziendale</t>
  </si>
  <si>
    <t>NALDI TONINO</t>
  </si>
  <si>
    <t>RAMBALDI SABRINA</t>
  </si>
  <si>
    <t>Progetto di miglioramento in termini ambientali e riduzione dei costidell'impresa agricola</t>
  </si>
  <si>
    <t>SARTORATO ARCHIMEDE</t>
  </si>
  <si>
    <t>Progetto finalizzato all'adozione di tecnologie di razionalizzazione del ciclo produttivo e processi di innovazione</t>
  </si>
  <si>
    <t>PIVA ODINEA</t>
  </si>
  <si>
    <t>Progetto di ristrutturazione per la trasformazione e conservazione del vino da tavola prodotto dalle uve nella propria azienda</t>
  </si>
  <si>
    <t xml:space="preserve">Azione 7 Attuazione di strategie integrate e multisettoriali </t>
  </si>
  <si>
    <t>Azienda Agraria Sperimentale Marani di Ravenna</t>
  </si>
  <si>
    <t>Ricerca: CONFETTURE DEL DELTA</t>
  </si>
  <si>
    <t>Ricerca: VINI TIPICI DELLE SABBIE</t>
  </si>
  <si>
    <t>Ricerca: CONSERVE DI PINETA</t>
  </si>
  <si>
    <t>Ricerca: RECUPERO DI TIPICITA' ORTICOLE</t>
  </si>
  <si>
    <t>Ricerca: SALICORNIA DELLE SALINE</t>
  </si>
  <si>
    <t>Atlandide scarl di Cervia (RA)</t>
  </si>
  <si>
    <t>Le Botteghe di Amaparco (organizzazione di vetrine dei prodotti tipici del delta)</t>
  </si>
  <si>
    <t>Comune di Alfonsine</t>
  </si>
  <si>
    <t>IL MERCATO DEL CONTADINO DI ALFONSINE (ORGANIZZAZIONE DI FARMER MARKET)</t>
  </si>
  <si>
    <t>Fattorie del delta srl di Mesola (FE)</t>
  </si>
  <si>
    <t>LA BOTTEGA DEL DELTA (organizzazione di vetrine dei prodotti tipici del delta)</t>
  </si>
  <si>
    <t>Coldiretti Ravenna</t>
  </si>
  <si>
    <t>A.M.I.C.A. -Agricoltura, Multifunzionalità, Integrazione, Cibo, Ambiente (ORGANIZZAZIONE DI FARMER MARKET)</t>
  </si>
  <si>
    <t>Consorzio il Bagnacavallo</t>
  </si>
  <si>
    <t xml:space="preserve">VALORIZZAZIONE DEL PANIERE DEL BAGNACAVALLO (incentivi per l'organizzazione di punti vendita) </t>
  </si>
  <si>
    <t xml:space="preserve">Misura 412 Attuazione di strategie locali per l'ambiente e la gestione del territorio </t>
  </si>
  <si>
    <t>412 AZ.3</t>
  </si>
  <si>
    <t>Comune di Argenta</t>
  </si>
  <si>
    <t>Realizzazione cartellonistica per l'accesso del pubblico e schermatura di minima volta a mitigare il disturbo della fauna Stazione di Campotto  e Rete Natura 2000</t>
  </si>
  <si>
    <t>Comune di Comacchio</t>
  </si>
  <si>
    <t>Percorso casoni di Valle</t>
  </si>
  <si>
    <t>Nordi Giuseppino</t>
  </si>
  <si>
    <t>Realizzazione di un percorso naturalistico Via Terra e Valle in località Valle Campo-Valli di Comacchio-Lidia di Spina</t>
  </si>
  <si>
    <t>Comune di Lagosanto</t>
  </si>
  <si>
    <t>La Via del Sale</t>
  </si>
  <si>
    <t>Azienda Agraria Sperimentale Marani</t>
  </si>
  <si>
    <t>Sentieri lungo siepi, boschetti e canali</t>
  </si>
  <si>
    <t>Sentieri didattici nel Parco</t>
  </si>
  <si>
    <t>TOTALE MISURA 412 AZIONE 3</t>
  </si>
  <si>
    <t xml:space="preserve">Azione 6 Attuazione di strategie integrate e multisettoriali </t>
  </si>
  <si>
    <t>412 AZ.6 D</t>
  </si>
  <si>
    <t>DELTA 2000 - autogestita</t>
  </si>
  <si>
    <t xml:space="preserve">BIODIVERSITA': IL VALORE DELLA DIVERSITA' IN NATURA </t>
  </si>
  <si>
    <t xml:space="preserve">Misura 413 Attuazione di strategie locali per la qualità della vita e diversificazione </t>
  </si>
  <si>
    <t xml:space="preserve">Azione 1 Agriturismo </t>
  </si>
  <si>
    <t>413 AZ.1</t>
  </si>
  <si>
    <t>Allevamento Due magico di D'Anela Emanuela</t>
  </si>
  <si>
    <t>Cambio di detinazione d'uso di fabbricato da magazzino a servizio rurale con ristrutturazione per ricavo servizi igienici a servizio di agricampeggio</t>
  </si>
  <si>
    <t>Società agricola Valentini Giovanni e Pantoli Carla</t>
  </si>
  <si>
    <t>Progetto Agriturismo Valentini</t>
  </si>
  <si>
    <t>Cami Società Agricola</t>
  </si>
  <si>
    <t>Progetto di manutenzione straordinaria presso casa colonica di pertinenza Agriturismo Camì</t>
  </si>
  <si>
    <t>TOTALE MISURA 413 AZIONE 1</t>
  </si>
  <si>
    <t>Azione 2 Attivazione con approccio LEADER della misura 313 "Incentivazione delle attività turistiche - Itinerari turistici di cui alla LR. 23/00</t>
  </si>
  <si>
    <t>413 AZ.2</t>
  </si>
  <si>
    <t>COMUNE DI BAGNACAVALLO</t>
  </si>
  <si>
    <t>COMUNE DI CERVIA</t>
  </si>
  <si>
    <t>"LE "BUONE" RISORSE DEL PARCO - Turismo naturalisitco ed eno-gastronomico della pianura ravennate"</t>
  </si>
  <si>
    <t>TOTALE MISURA 413 AZIONE 2</t>
  </si>
  <si>
    <t>Azione 4 Attivazione con approccio LEADER della misura 322 "Riqualificazione dei villaggi rurali"</t>
  </si>
  <si>
    <t>COMUNE DI GORO</t>
  </si>
  <si>
    <t>Progetto per il restauro e risanamento conservativo del Centro Culturale (Biblioteca e Teatro) di Goro</t>
  </si>
  <si>
    <t>COMUNE DI MESOLA</t>
  </si>
  <si>
    <t>Progetto per la valorizzazione culturale dell'ex plesso scolastico Elementari-Medie di Mesola</t>
  </si>
  <si>
    <t>COMUNE DI PORTOMAGGIORE</t>
  </si>
  <si>
    <t>Progetto di potenziamento del complesso turistico delle delizie estensi "Delizia Estense del Verginese"</t>
  </si>
  <si>
    <t>COMUNE DI ARGENTA</t>
  </si>
  <si>
    <t>Progetto di ristrutturazione di un fabbricato rurale esistente denominato Ex Tabaccaia</t>
  </si>
  <si>
    <t>Progetto di recupero strutturale ex idrovoro Marozzo per destinarlo a museo e centro documentazione della bonifica meccanica</t>
  </si>
  <si>
    <t>COMUNE DI OSTELLATO</t>
  </si>
  <si>
    <t>Restauro e risanamento conservativo della ex scuola di Libolla per creazione di sito di sosta e valorizzazione turistica</t>
  </si>
  <si>
    <t>COMUNE DI MIGLIARO</t>
  </si>
  <si>
    <t>Restauro Teatro Severi: Realizzazione sala 100 posti</t>
  </si>
  <si>
    <t>COMUNE DI BERRA</t>
  </si>
  <si>
    <t>Progetto di recupero dell'ex  Municipio di Berra per la promozione e valorizzazione del territorio, da destinarsi a locali archivio storico e sala conferenze</t>
  </si>
  <si>
    <t xml:space="preserve">Progetto di recupero dell'ex  Municipio di Berra per la promozione e valorizzazione del territorio, da destinarsi a locali per educazione ambientale e consultazione. </t>
  </si>
  <si>
    <t>TOTALE MISURA 413 AZIONE 4</t>
  </si>
  <si>
    <t>Itineradelta - Progetto dimostrativo per la fruizione intermodale del Delta del Po emiliano-romagnolo</t>
  </si>
  <si>
    <t>Studio di fattibilità per la realizzazione di un itinerario enogastonomico nell'area della pianura orientale della Provincia di Ravenna</t>
  </si>
  <si>
    <t>COMUNE DI COMACCHIO</t>
  </si>
  <si>
    <t>COMUNE DI JOLANDA DI SAVOIA</t>
  </si>
  <si>
    <t>COMUNE DI RUSSI</t>
  </si>
  <si>
    <t>COMUNE DI LAGOSANTO</t>
  </si>
  <si>
    <t>413 AZ. 7 F.1</t>
  </si>
  <si>
    <t>Primavera Slow 2010</t>
  </si>
  <si>
    <t>Partecipazione BBF 2010 e guida birdwatching</t>
  </si>
  <si>
    <t xml:space="preserve">Tracce del passato, segni di futuro </t>
  </si>
  <si>
    <t>TOTALE PROGETTI FINANZIATI ASSE 4 LEADER 2007 - 2013 (*)</t>
  </si>
  <si>
    <t xml:space="preserve">MISURA 421 - PROGETTI DI COOPERAZIONE </t>
  </si>
  <si>
    <t xml:space="preserve">MISURA 431 - ATTUAZIONE </t>
  </si>
  <si>
    <t>Azione 7 Attuazione di strategie integrate e multisettoriali  - I BANDO 2012</t>
  </si>
  <si>
    <t>Progetto "ECOMUSEI"</t>
  </si>
  <si>
    <t>Progetto "I Tesori del Gusto"</t>
  </si>
  <si>
    <t>Attuazione - Gestione del GAL, acquisizione di competenze e animazione 2008/2010</t>
  </si>
  <si>
    <t>Attuazione - Gestione del GAL, acquisizione di competenze e animazione 2011</t>
  </si>
  <si>
    <t>Attuazione - Gestione del GAL, acquisizione di competenze e animazione 2012</t>
  </si>
  <si>
    <t>Attuazione - Gestione del GAL, acquisizione di competenze e animazione 2013/2015</t>
  </si>
  <si>
    <t>Assaporando</t>
  </si>
  <si>
    <t>TOTALE MISURA 421 COOPERAZIONE</t>
  </si>
  <si>
    <t xml:space="preserve">Azione 3 attivazione con approccio Leader della Misura 216 “Sostegno agli investimenti non produttivi” Azione 1 – Accesso al pubblico e gestione faunistica </t>
  </si>
  <si>
    <t>Comune Cervia</t>
  </si>
  <si>
    <t>Comune Bagnacavallo</t>
  </si>
  <si>
    <t>Comune Mesola</t>
  </si>
  <si>
    <t>Ente di Gestione per i Parchi e la Biodiversità - Delta del Po</t>
  </si>
  <si>
    <t>Completamento pista ciclabile Argine Savio tra Cannuzzo e Castiglione - Tratto Ovest</t>
  </si>
  <si>
    <t>Completamento pista ciclabile Argine Savio tra Cannuzzo e Castiglione - Tratto Est</t>
  </si>
  <si>
    <t>Ecomuseo delle Erbe Palustri, Etnoparco delle  Capanne, sezione didattica all'aperto dell'orto-giardino</t>
  </si>
  <si>
    <t>Realizzazioni di un sentiero per escursioni, visite naturalistiche e ciclo-turistiche in Mesola</t>
  </si>
  <si>
    <t>Recupero strutturale dell'ex Idrovoro di Marozzo (Lagosanto) attualmente Ecomuseo della Bonifica Meccanica - Riqualificazione degli spazi esterni per realizzare un museo all'aria aperta ed integrazione dei percorsi turistici</t>
  </si>
  <si>
    <t>413 AZ. 7 Int. G</t>
  </si>
  <si>
    <t>413 AZ. 7 C.2</t>
  </si>
  <si>
    <t>COMUNE DI RAVENNA</t>
  </si>
  <si>
    <t>CONSORZIO IL BAGNACAVALLO</t>
  </si>
  <si>
    <t>Perelli Edoardo</t>
  </si>
  <si>
    <t>Turra Sonia</t>
  </si>
  <si>
    <t>Azienda Agraria Sperimentale Mario Marani</t>
  </si>
  <si>
    <t>Tomasi Tourism srl</t>
  </si>
  <si>
    <t>Alma Mater studiorum - Università di Bologna</t>
  </si>
  <si>
    <t>Rosetti Michele</t>
  </si>
  <si>
    <t>Valpiani Valeriano</t>
  </si>
  <si>
    <t>Il mercato contadino di Ravenna</t>
  </si>
  <si>
    <t>Valorizzazione immagine del Consorzio il Bagnacavallo</t>
  </si>
  <si>
    <t>La Bottega agricola delle eccellenze ferraresi</t>
  </si>
  <si>
    <t>Miglioramento punto vendita, e acquisto prodotti informatici</t>
  </si>
  <si>
    <t>Studi e ricerche a supporto della competitività dei prodotti tradizionali coltivati e "selvatici" di pregio del Delta Ravennate</t>
  </si>
  <si>
    <t>Studi della fertilità e della vocazionalità dei suoli del delta emiliano-romagnolo per asparago e pomodoro</t>
  </si>
  <si>
    <t>Turismo esperienziale e prodotto tipico nel Delta dle Po</t>
  </si>
  <si>
    <t>Impiego di strategie innovative (biochar e compost) per migliorare la qualità e competitività delle produzioni vocate ed innovativedell'area del Delta</t>
  </si>
  <si>
    <t>Vendita diretta "Az. Agr. ARMAJA frutta e verdura a KM 0"</t>
  </si>
  <si>
    <t>Trasformazione diretta "Dall'ortofrutta alle confetture"</t>
  </si>
  <si>
    <t xml:space="preserve">TOTALE MISURA 411 AZIONE7 </t>
  </si>
  <si>
    <t>COMUNE DI CODIGORO</t>
  </si>
  <si>
    <t>Risanamento conservativo e ristrutturazione locali da destinare alla consultazione e allo studio di materiale storico  - Ala Nord ovest, piano terra, immobile ex sede AUSL sito in Riviera Cavallotti n.3</t>
  </si>
  <si>
    <t>Risanamento conservativo e ristrutturazione locali da destinare a iniziative in ambito socio-culturale e turistico - Ala sud-est, piano terra, immobile ex sede AUSL sito in Riviera Cavallotti n.7</t>
  </si>
  <si>
    <t xml:space="preserve">Azione 5  Attivazione con approccio Leader della Misura 227 Sostegno agli investimenti forestali non produttivi </t>
  </si>
  <si>
    <t>Provincia di Ferrara</t>
  </si>
  <si>
    <t>Ente di gestione per i Parchi e la biodiversità - Delta del Po</t>
  </si>
  <si>
    <t>Provincia di Ravenna</t>
  </si>
  <si>
    <t>Interventi di miglioramento e potenziamento della sentieristica e della biodiversità forestale all'interno della Pineta Motte del Fondo - Mesola</t>
  </si>
  <si>
    <t>Interventi di miglioramento strutturale e della sentieristica all'interno della Pineta di Spina</t>
  </si>
  <si>
    <t>Interventi di miglioramento habitat e miglioramento accessi Garzaia di Codigoro IT4060011 (Comune di Codigoro)</t>
  </si>
  <si>
    <t>Progetto degli interventi di forestazione nel SIC - ZPS IT4060012 "Dune di San Giuseppe"</t>
  </si>
  <si>
    <t>Interventi di controllo e indirizzo della ripresa della vegetazione forestale nel SIC/ZPS  "Ortazzo, Ortazzino, Foce del torrente Bevano"</t>
  </si>
  <si>
    <t>Interventi di messa in sicurezza e controllo della fruizione nella riserva naturale dello Stato "Pineta di Ravenna" sezione "Ramazzotti"</t>
  </si>
  <si>
    <t xml:space="preserve">CONTRIBUTO CONCESSO </t>
  </si>
  <si>
    <t>Risanamento conservativo cinema-teatro "Il Nuovo" di Bosco Mesola</t>
  </si>
  <si>
    <t>Lavori di recupero del piano galleria del Teatro Comunale "Orestino Tumiati" da destinarsi a locali polivalenti per la promozione e valorizzazione del territorio</t>
  </si>
  <si>
    <t>Urban Center - Sistemazione spazi del Centro Culturale come spazi per la collettività</t>
  </si>
  <si>
    <t>SOCIETA' AGRICOLA SUCCI DI SUCCI MATTIA &amp; C.</t>
  </si>
  <si>
    <t>Intervento di ristrutturazione locali e acquisto di attrezzature</t>
  </si>
  <si>
    <t>Introduzione di nuove tecnologie</t>
  </si>
  <si>
    <t>FELLETTI LUCA</t>
  </si>
  <si>
    <t>MAZZONI LUIGI</t>
  </si>
  <si>
    <t>SOCIETA' AGRICOLA PIZZOLATO GIORGIO S.S</t>
  </si>
  <si>
    <t>SOCIETA' AGRICOLA GUIDI DI GUIDI GIULIANO  &amp; C. S.S</t>
  </si>
  <si>
    <t>SOCIETA' AGRICOLA CATOZZI S.S.</t>
  </si>
  <si>
    <t>Introduzione di nuove tecnologie e ristrutturazione del magazzino</t>
  </si>
  <si>
    <t>MASSARENTI DANIELE</t>
  </si>
  <si>
    <t>PAIOLA STEFANO</t>
  </si>
  <si>
    <t>SOCIETA' AGRICOLA MAZZONI</t>
  </si>
  <si>
    <t>MINGUZZI ANNA MARIA</t>
  </si>
  <si>
    <t>FOGLI ADRIANO</t>
  </si>
  <si>
    <t>MANGOLINI MARCO</t>
  </si>
  <si>
    <t>CATOZZI ALPINO</t>
  </si>
  <si>
    <t>BELLOSI RICCARDO</t>
  </si>
  <si>
    <t>ROSETTI MICHELE</t>
  </si>
  <si>
    <t>SOCIETA' AGRICOLA SASSETTO E TROMBINI S.S.</t>
  </si>
  <si>
    <t xml:space="preserve">Intervento di acquisto attrezzature </t>
  </si>
  <si>
    <t>GHIRARDELLI GABRIELE</t>
  </si>
  <si>
    <t>SOCIETA' AGRICOLA BOSCOLO MENEGUOLO MAURO, LUIGI, LORIS  C. S.S</t>
  </si>
  <si>
    <t>BARBONI PAOLO</t>
  </si>
  <si>
    <t>GREGORI ANDREA</t>
  </si>
  <si>
    <t>Introduzione di ristrutturazione e acquisto nuovi macchinari</t>
  </si>
  <si>
    <t>AZIENDA AGRICOLA OASI DI GARBIN A.  C. S.S.</t>
  </si>
  <si>
    <t>AZIENDA AGRICOLA LA ROMANINA DI MANGOLINI RENATO</t>
  </si>
  <si>
    <t>SOCIETA' AGRICOLA PARIONI DI LANCELLOTTI VILLIAM C. S.S.</t>
  </si>
  <si>
    <t>SOCIETA' AGRICOLA FRATELLI VALENTINI S.S.</t>
  </si>
  <si>
    <t>Intervento di miglioramento dell'azienda agricola per l'allevamento e lavorazione della mora romagnola</t>
  </si>
  <si>
    <t>SLANZI GAMPER ALEX</t>
  </si>
  <si>
    <t>Intervento di acquisto attrezzature</t>
  </si>
  <si>
    <t>FURINI MASSIMO</t>
  </si>
  <si>
    <t>GRASSI SANDRO</t>
  </si>
  <si>
    <t xml:space="preserve">SOCIETA' AGRICOLA PORTO FELLONI DI SALVAGNIN LUCIANO &amp; C. </t>
  </si>
  <si>
    <t>FACCHINI STEFANO</t>
  </si>
  <si>
    <t>TAMBURINI ROBERTO</t>
  </si>
  <si>
    <t>FOGLI GABRIELE</t>
  </si>
  <si>
    <t>TENUTA UCCELLINA DI AMOROSA ANNA ANTONIETTA</t>
  </si>
  <si>
    <t>Introduzione di nuove tecnologie e ristrutturazione fabbricato</t>
  </si>
  <si>
    <t>TONELLO MAURO</t>
  </si>
  <si>
    <t>COATTI GIULIANO</t>
  </si>
  <si>
    <t>ZANELLATI STEFANO</t>
  </si>
  <si>
    <t>BERTONI GIANLUCA</t>
  </si>
  <si>
    <t>BARBONI GABRIELE</t>
  </si>
  <si>
    <t>PIVA  MASSIMO E MILANI ROSSELLA S.S.</t>
  </si>
  <si>
    <t>VASSALLI EDGARDO</t>
  </si>
  <si>
    <t>ZAVAGLINI MAURIZIO</t>
  </si>
  <si>
    <t>Intervento di ristrutturazione tettoia per deposito paglia/fieno e ricovero attrezzi</t>
  </si>
  <si>
    <t>BELTRAMI ALESSANDRO</t>
  </si>
  <si>
    <t>FARISELLI DAVIDE</t>
  </si>
  <si>
    <t>COOPERATIVA BONIFICA LAMONE</t>
  </si>
  <si>
    <t>SOCIETA' AGRCOLA VALENTINI GIOVANNI E PANTOLI CARLA</t>
  </si>
  <si>
    <t>CASADEI EMILIO</t>
  </si>
  <si>
    <t>SOCIETA' AGRICOLA TRE C. SS</t>
  </si>
  <si>
    <t>BIONDI MAURO</t>
  </si>
  <si>
    <t>SOCIETA' AGRICOLA SAN MARCO DI LUISA ZANOVELLO E C.</t>
  </si>
  <si>
    <t>FRIZZARIN GIOBATTA</t>
  </si>
  <si>
    <t>GREENJOB</t>
  </si>
  <si>
    <t>Azioni di supporto</t>
  </si>
  <si>
    <t>TOTALE MISURA 431</t>
  </si>
  <si>
    <t>SPINA VILLAGE SRL</t>
  </si>
  <si>
    <t>MIFRA DI LUCIANI ROSELLA (Gelateria)</t>
  </si>
  <si>
    <t>F.M. S.R.L. di FELLETTI FIORELLA (HOTEL JULIA)</t>
  </si>
  <si>
    <t>TOMASI TOURISM SRL</t>
  </si>
  <si>
    <t xml:space="preserve">AQUA S.R.L. </t>
  </si>
  <si>
    <t>kIRECò Societa Cooperativa Sociale</t>
  </si>
  <si>
    <t xml:space="preserve">Realizzazione di un ristorante per l'offerta dei prodotti tipici enogastronomici del territorio, sfruttando la clientela internazionale  presente nel periodo stagionale estivo: gli interventi previsti sono pavimentazione ristorante, gazebo, allestimenti esterni con piantumazioni, muretti ecc.. Il progetto prevede anche allestimento area giochi, gestione e organizzazioen scuola vela, allestimento attività di birdwatching e attività didattiche.  </t>
  </si>
  <si>
    <t>Ristrutturazione del layout aziendale e implementazione di alcune attrezzature e complementi utili, ovvero allestimento di banchi e vetrine interne e nuova tenda a capanno esterna con luci a basso consumo energtico,  per legare l'impresa alla proposta di prodotti tipici del territorio e alla vendita di artigianato artistico.</t>
  </si>
  <si>
    <t>Completamento di interventi alla struttura turistica, con sostituzione arredi interni ed attrezzature finalizzate alla tipicizzazione e qualificazione dei servizi; realizzazione di azioni di promozione (video, redazione e stampe depliant)</t>
  </si>
  <si>
    <t>Ristrutturazione di n.10 stanze dell'hotel, con rifacimento pavimenti, impiantistica, modifiche alle tramezze , nuovi bagni e sanitari, isolamento solai ecc. ; rifacimento piscina con riduzione specchio d'aacqua e copertura piscina; nuovo centro wellness.</t>
  </si>
  <si>
    <t>Implementazione di un intervento integrato che coinvolge il comparto del turismo lento e quello enogastronomico con la realizzazione di itinerari tematici: si prevede acquisto di n.25 parco bici e realizzazione pensilina per il ricovero dei mezzi, n.4 kayak, realizzazione di prototipi di materiale promo.</t>
  </si>
  <si>
    <t>Ampliamento dell'area pic-nic, cartellonistica, area di sosta e biciclette, presdisposizione punti informativi, predisposizione spazio per cucinare, segnaletica di accesso, terreno stabilizzato per area di sosta.</t>
  </si>
  <si>
    <t>TOTALE MISURA 413 AZIONE 7 Int. B.1 e B. 2</t>
  </si>
  <si>
    <t>Azione 3 Attivazione con approccio LEADER della misura 121 "Ammodernamento delle aziende agricole"  -</t>
  </si>
  <si>
    <t>Interventi selvicolturali finalizzati alla tutela e all'incremento della biodiversita' nella Pineta Comunale di Marina di Ravenna</t>
  </si>
  <si>
    <t>Interventi di forestazione della Pineta di Cervia</t>
  </si>
  <si>
    <t>Interventi selvicolturali finalizzati alla tutela e all'incremento della biodiversita' nella Pineta Comunale di Classe</t>
  </si>
  <si>
    <t>Interventi di installazione di recinzione segnaletica nella Pineta di Lido di Spina</t>
  </si>
  <si>
    <t>413.Az.6 B</t>
  </si>
  <si>
    <t xml:space="preserve">TOTALE MISURA 412 AZIONE 6 </t>
  </si>
  <si>
    <t xml:space="preserve">Impianto pilota di contrasto all'intrusione salina e di stoccaggio d'acqua per fini irrigui </t>
  </si>
  <si>
    <t>Comune di Jolanda di Savoia</t>
  </si>
  <si>
    <t>Museo diffuso dei paesaggi rurali</t>
  </si>
  <si>
    <t>Realizzazione di opere per l'apertura al pubblico dell'Area archeologica della Pieve di Santa Maria in Padovetere</t>
  </si>
  <si>
    <t>Comune di Ravenna</t>
  </si>
  <si>
    <t>Intervento di valorizzazione ingresso e altri interventi a verde nella prima stazione del parco archeologico di Classe</t>
  </si>
  <si>
    <t>Comune di Mesola</t>
  </si>
  <si>
    <t xml:space="preserve">Percorso ciclo-pedonale in fregio alla SP 27  Tratto Boscone della Mesola </t>
  </si>
  <si>
    <t>Comune di Codigoro</t>
  </si>
  <si>
    <t>Completamento del percorso ciclopedonale "Codigoro-Pontemaodino-Pomposa - 3° stralcio</t>
  </si>
  <si>
    <t>Percorso ciclo-pedonale in fregio alla SP 27  Tratto Boscone della Mesola - Torre Palù</t>
  </si>
  <si>
    <t xml:space="preserve">Percorso ciclo-pedonale in fregio alla SP 27  Tratto Loc. Arginelli -  Boscone della Mesola </t>
  </si>
  <si>
    <t>Comune di Berra</t>
  </si>
  <si>
    <t>Recupero delle strutture e sentieri naturalistici del complesso turistico "La Porta del Delta" in Serravalle quale "Parco tematico" destinato alla fruizione turistico ambientale della Golena del Po di Serravalle</t>
  </si>
  <si>
    <t xml:space="preserve">Comune Argenta </t>
  </si>
  <si>
    <t>Lavori di completamento della pista ciclo-pedonale "percorso Primaro" nel tratto fra la via Fornace Vecchia e la via Rott Martinella in prossimità del traghetto di Sant'Alberto nella Fraz. Di Anita</t>
  </si>
  <si>
    <t>Riqualificazione della "Cella Ticchioni" e creazione di percorso storico culturale della memoria</t>
  </si>
  <si>
    <t>LOGONOVO LIDO DEGLI ESTENSI SAS  DI NICOLETTA CASTAGNETTI &amp; C.</t>
  </si>
  <si>
    <t>SOCIETA' AGRICOLA IL BIVACCO DI POZZATI FRATELLI E C. S.S.</t>
  </si>
  <si>
    <t>Acquisto attrezzature</t>
  </si>
  <si>
    <t>SOCIETA' AGRICOLA CORTE ROMA DI ROCCHI NINO &amp; C. - SOCIETA' SEMPLICE</t>
  </si>
  <si>
    <t>BARBONI EDI</t>
  </si>
  <si>
    <t>MUCCIOLI ANTONIO E ANDREA SOCIETA' AGRICOLA</t>
  </si>
  <si>
    <t>ARMARI NATASCIA</t>
  </si>
  <si>
    <t>SOCIETA' SEMPLICE AGRICOLA RAGAZZINI PAOLO E REMO</t>
  </si>
  <si>
    <t>TAMBURINI ALAN</t>
  </si>
  <si>
    <t>SOLDATI ANTONIO</t>
  </si>
  <si>
    <t>VENTURI LUCA</t>
  </si>
  <si>
    <t>PATTUELLI ROBERTO</t>
  </si>
  <si>
    <t>SOCIETA' AGRICOLA CAVAZZINI E COTTI DI CAVAZZINI DR. EROS GIANCARLO &amp; C. SOCIETA' SEMPLICE</t>
  </si>
  <si>
    <t>MASINI DEVID</t>
  </si>
  <si>
    <t>Comune di Cervia</t>
  </si>
  <si>
    <t>Ecomuseo del Sale e del Mare: cartellonistica, segnaletica e  materiale documentario identitario del territorio legato alla cultura del sale</t>
  </si>
  <si>
    <t>Comune di Bagnacavallo</t>
  </si>
  <si>
    <t>Fruizione integrata tra vie d'acqua e fotografia naturalistica a Campotto di Argenta</t>
  </si>
  <si>
    <t>Completamento e strutturazione di itinerari ecoturistici attorno al Bosco della Mesola mediante la realizzazione di un punto sosta accessibile, con scopi informativi e divulgativi</t>
  </si>
  <si>
    <t>Valorizzazione integrata di percorsi eco-turistici nelle Valli di Comacchio</t>
  </si>
  <si>
    <t xml:space="preserve">costruzione capannone agricolo e introduzione di nuove tecnologie. </t>
  </si>
  <si>
    <t xml:space="preserve">TOTALE MISURA 411.3 </t>
  </si>
  <si>
    <t>412 AZ. 6</t>
  </si>
  <si>
    <t>Opere di completamento e strutturazione dei percorsi ciclo naturalistici del canale Naviglio Zanelli e Fiume Lamome</t>
  </si>
  <si>
    <t>SEGANTI STEFANO</t>
  </si>
  <si>
    <t>SOCIETA' AGRICOLA MIGLIARI ROBERTO E ALBERTO S.S.</t>
  </si>
  <si>
    <t>SOCIETA' AGRICOLA MAZZONI - SOCIETA' SEMPLICE</t>
  </si>
  <si>
    <t>ROLFINI GENERINO</t>
  </si>
  <si>
    <t>LUCIANI ANDREA</t>
  </si>
  <si>
    <t>AZIENDA AGRICOLA DI MINGUZZI GIANCARLO, MINGUZZI ANNA MARIA E LIVERANI ROSANNA SOCIETA' SEMPLICE SOCIETA' AGRICOLA</t>
  </si>
  <si>
    <t>CHIERICATI LORENZO</t>
  </si>
  <si>
    <t>BALLARDINI STEFANO, GIORGIO E FAUSTO</t>
  </si>
  <si>
    <t>MANGOLINI MICHELE</t>
  </si>
  <si>
    <t>SOCIETA' AGRICOLA SANT'UGO S.S. DI BASSI FEDERICO E BASSI SERGIO</t>
  </si>
  <si>
    <t>AMADORI ANDREA</t>
  </si>
  <si>
    <t>VALMORI SOC AGRICOLA</t>
  </si>
  <si>
    <t>ZANZI MASSIMO</t>
  </si>
  <si>
    <t>SIVIERI DARIO</t>
  </si>
  <si>
    <t>DRADI ROBERTO</t>
  </si>
  <si>
    <t>LUALDI ALESSANDRO</t>
  </si>
  <si>
    <t>COOPERATIVA AGRICOLA BRACCIANTI COMPRENSORIO CERVESE SOCIETA' COOPERATIVA AGRICOLA PER AZIONI IN SIGLA "C.A.B. COMPRENSORIO CERVESE SOC.COOP. AGR. P.A.</t>
  </si>
  <si>
    <t>SOCIETA' AGRICOLA MAGOGHE S.S.</t>
  </si>
  <si>
    <t>AZ. AGR. GORI LUCIANO E TIZIANO S.S. SOCIETA' AGRICOLA</t>
  </si>
  <si>
    <t>TARRONI FEDERICO</t>
  </si>
  <si>
    <t>TARRONI MAURIZIO</t>
  </si>
  <si>
    <t>SOCIETA' AGRICOLA MARCHETTI ROBERTO E MARCHETTI FRANCO - SOCIETA'SEMPLICE</t>
  </si>
  <si>
    <t>SOCIETA' AGRICOLA CORTE SAN VENANZIO DI SALVAGNIN MASSIMO &amp; C. SOCIETA' SEMPLICE</t>
  </si>
  <si>
    <t>IMMOBILIARE AGRICOLA LA VITTORIA S.S. DI A. GEREMIA &amp; C.</t>
  </si>
  <si>
    <t>SOCIETA' AGRICOLA T.M. DI TEBALDI E MONTANARI S.S.</t>
  </si>
  <si>
    <t>ERRANI ITALO</t>
  </si>
  <si>
    <t>SOCIETA' AGRICOLA PARIONI DI LANCELLOTTI VILLIAM &amp; C. - SOCIETA' SEMPLICE</t>
  </si>
  <si>
    <t>DELTA 2000</t>
  </si>
  <si>
    <t xml:space="preserve">DELTA 2000 </t>
  </si>
  <si>
    <t>Intervento di completamento e strutturazione  dei percorsi cicloturistici e storico-culturali esistenti e manutenzione straordinaria dell'area sosta camper situata in Via Pomposa nei pressi dell'immobile Ex Enaoli</t>
  </si>
  <si>
    <t>RIEPILOGO PROGETTI ATTUATI E FINANZIATI CON IL LEADER ASSE 4 2007-2013</t>
  </si>
  <si>
    <t>IMPORTO SPESA SOSTENUTA</t>
  </si>
  <si>
    <t xml:space="preserve">411 AZ. 3 
bando I </t>
  </si>
  <si>
    <t xml:space="preserve">411 AZ. 3 
bando II </t>
  </si>
  <si>
    <t>411 AZ. 3 
bando III</t>
  </si>
  <si>
    <t>TITOLO PROGETTO - DESCRIZIONE</t>
  </si>
  <si>
    <t>411 AZ. 7   Int. A. e B. - bando I</t>
  </si>
  <si>
    <t>411 AZ. 7   Int. A. e B. - bando II</t>
  </si>
  <si>
    <t>412 AZ.5 bando I</t>
  </si>
  <si>
    <t>412 AZ.5 bando II</t>
  </si>
  <si>
    <t>TOTLAE MISURA 412 AZIONE 5</t>
  </si>
  <si>
    <t>REGIA DIRETTA</t>
  </si>
  <si>
    <t>Convenzione</t>
  </si>
  <si>
    <t>413 AZ.4 bando I</t>
  </si>
  <si>
    <t>413 AZ.4 bando II</t>
  </si>
  <si>
    <t>413 AZ. 7   Int. B.1 - B.2</t>
  </si>
  <si>
    <t>413 AZ. 7 Int. C.1 C.3   bando I</t>
  </si>
  <si>
    <t>413 AZ. 7 Int. C.1 C.3   bando II</t>
  </si>
  <si>
    <t>413 AZ. 7 Int. C.1 C.3   bando III</t>
  </si>
  <si>
    <t>TOTALE MIS.413.7 INT. C1.C.3</t>
  </si>
  <si>
    <t xml:space="preserve">413 AZ. 7 Int. F.1 </t>
  </si>
  <si>
    <t xml:space="preserve">Navigando </t>
  </si>
  <si>
    <t>413 AZ. 7 Int. A.1</t>
  </si>
  <si>
    <t>413 AZ. 7 Int. A.2</t>
  </si>
  <si>
    <t>Circuito Enogastonomico - XBacco - Rassegna nazionale di consorzi e cooperative di prodotti tipici</t>
  </si>
  <si>
    <t>Circuito Enogastonomico - La Sagra della Vongola - Un territorio da scoprire</t>
  </si>
  <si>
    <t>Circuito Enogastonomico - Promozione della Sagra dell'Anguilla di Comacchio</t>
  </si>
  <si>
    <t>Circuito Enogastonomico - Valorizzazione dell'asparago e potenziamento dell'immagine e della promozione della Fiera dell'Asparago - annualità 2011-2012-2013</t>
  </si>
  <si>
    <t>Circuito Enogastonomico - Le giornate del riso - il riso nel piatto</t>
  </si>
  <si>
    <t>Circuito Enogastonomico - Il BEL e COT nella tradizione russiana</t>
  </si>
  <si>
    <t>Circuito Enogastonomico - Sapore di sale</t>
  </si>
  <si>
    <t>Circuito Enogastonomico - Sagra della fragola</t>
  </si>
  <si>
    <t xml:space="preserve">TOTALE PROGETTI A REGIA E A CONVENZIONE MISURA 413 AZIONE 7 </t>
  </si>
  <si>
    <t>421 - Cooperazione</t>
  </si>
  <si>
    <t>Progetto "TUR RIVERS - Promozione Turismo rurale nei territori di pianura attraversati dai grandi fiumi"</t>
  </si>
  <si>
    <t xml:space="preserve">Progetto "Destinazione Parchi Delta del Po Emilia-Romagna e Veneto" </t>
  </si>
  <si>
    <t>Progetto BIRDWILDESTINATION</t>
  </si>
  <si>
    <t>TOTALE PROGETTI FINANZIATI ASSE 4 LEADER 2007 - 2013</t>
  </si>
  <si>
    <t>Bando</t>
  </si>
  <si>
    <t>MODALITA' DI ATTUAZIONE</t>
  </si>
  <si>
    <t>N.</t>
  </si>
  <si>
    <t>Progetto Educare alla sostenibilità</t>
  </si>
  <si>
    <r>
      <t xml:space="preserve">Completamento dell'offerta in atto rivolta alla riqualficazione e destagionalizzazione turistica ecc. con acquisto e allestimento di pannelli fotovoltaici per alimentazione biciclette e riduzione impatto ambientale dell'attività del residence al fine di qualificarsi come eco residence e arredo di n. 8 unità abitative del residence per accoglienza del target specifico </t>
    </r>
    <r>
      <rPr>
        <i/>
        <sz val="11"/>
        <rFont val="Calibri"/>
        <family val="2"/>
      </rPr>
      <t>cicloturista.</t>
    </r>
    <r>
      <rPr>
        <sz val="11"/>
        <rFont val="Calibri"/>
        <family val="2"/>
      </rPr>
      <t xml:space="preserve"> </t>
    </r>
  </si>
  <si>
    <r>
      <t xml:space="preserve">Circuito Enogastonomico - Valorizzazione e promozione del </t>
    </r>
    <r>
      <rPr>
        <sz val="11"/>
        <rFont val="Calibri"/>
        <family val="2"/>
      </rPr>
      <t xml:space="preserve">tartufo estense </t>
    </r>
    <r>
      <rPr>
        <sz val="11"/>
        <color indexed="8"/>
        <rFont val="Calibri"/>
        <family val="2"/>
      </rPr>
      <t>come opprotunità di sviluppo e qualificazione del territorio - annualità 2011-2012-2013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</si>
</sst>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([$€]* #,##0.00_);_([$€]* \(#,##0.00\);_([$€]* &quot;-&quot;??_);_(@_)"/>
    <numFmt numFmtId="166" formatCode="_-* #,##0.0_-;\-* #,##0.0_-;_-* &quot;-&quot;??_-;_-@_-"/>
    <numFmt numFmtId="167" formatCode="_-[$€-410]\ * #,##0.00_-;\-[$€-410]\ * #,##0.00_-;_-[$€-410]\ * &quot;-&quot;??_-;_-@_-"/>
    <numFmt numFmtId="168" formatCode="0.0%"/>
    <numFmt numFmtId="169" formatCode="_-* #,##0.000_-;\-* #,##0.000_-;_-* &quot;-&quot;??_-;_-@_-"/>
    <numFmt numFmtId="170" formatCode="_-* #,##0_-;\-* #,##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mmm\-yyyy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[$-410]dddd\ d\ mmmm\ yyyy"/>
    <numFmt numFmtId="181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color indexed="9"/>
      <name val="Calibri"/>
      <family val="2"/>
    </font>
    <font>
      <sz val="9"/>
      <name val="Arial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5" fontId="8" fillId="0" borderId="0" applyFont="0" applyFill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vertical="top"/>
    </xf>
    <xf numFmtId="0" fontId="6" fillId="34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5" fillId="36" borderId="1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8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6" fillId="37" borderId="10" xfId="0" applyNumberFormat="1" applyFont="1" applyFill="1" applyBorder="1" applyAlignment="1">
      <alignment horizontal="center" vertical="center" wrapText="1"/>
    </xf>
    <xf numFmtId="0" fontId="7" fillId="38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0" fontId="0" fillId="39" borderId="0" xfId="0" applyFont="1" applyFill="1" applyAlignment="1">
      <alignment/>
    </xf>
    <xf numFmtId="0" fontId="1" fillId="39" borderId="10" xfId="0" applyFont="1" applyFill="1" applyBorder="1" applyAlignment="1">
      <alignment/>
    </xf>
    <xf numFmtId="0" fontId="7" fillId="39" borderId="11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7" fillId="40" borderId="11" xfId="0" applyNumberFormat="1" applyFont="1" applyFill="1" applyBorder="1" applyAlignment="1">
      <alignment horizontal="center" vertical="top" wrapText="1"/>
    </xf>
    <xf numFmtId="0" fontId="7" fillId="4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/>
    </xf>
    <xf numFmtId="0" fontId="7" fillId="39" borderId="10" xfId="0" applyNumberFormat="1" applyFont="1" applyFill="1" applyBorder="1" applyAlignment="1">
      <alignment horizontal="center" vertical="top" wrapText="1"/>
    </xf>
    <xf numFmtId="0" fontId="0" fillId="39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0" fillId="41" borderId="10" xfId="0" applyFont="1" applyFill="1" applyBorder="1" applyAlignment="1">
      <alignment/>
    </xf>
    <xf numFmtId="170" fontId="9" fillId="41" borderId="10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center" wrapText="1"/>
    </xf>
    <xf numFmtId="0" fontId="6" fillId="37" borderId="10" xfId="0" applyNumberFormat="1" applyFont="1" applyFill="1" applyBorder="1" applyAlignment="1">
      <alignment vertical="center" wrapText="1"/>
    </xf>
    <xf numFmtId="0" fontId="6" fillId="37" borderId="12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6" fillId="42" borderId="10" xfId="0" applyNumberFormat="1" applyFont="1" applyFill="1" applyBorder="1" applyAlignment="1">
      <alignment vertical="center" wrapText="1"/>
    </xf>
    <xf numFmtId="0" fontId="9" fillId="4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42" borderId="10" xfId="0" applyFont="1" applyFill="1" applyBorder="1" applyAlignment="1">
      <alignment horizontal="left" vertical="center" wrapText="1"/>
    </xf>
    <xf numFmtId="0" fontId="6" fillId="37" borderId="10" xfId="0" applyNumberFormat="1" applyFont="1" applyFill="1" applyBorder="1" applyAlignment="1">
      <alignment horizontal="left" vertical="center" wrapText="1"/>
    </xf>
    <xf numFmtId="164" fontId="6" fillId="37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43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167" fontId="6" fillId="39" borderId="10" xfId="46" applyNumberFormat="1" applyFont="1" applyFill="1" applyBorder="1" applyAlignment="1">
      <alignment horizontal="right" vertical="center" wrapText="1"/>
    </xf>
    <xf numFmtId="164" fontId="9" fillId="43" borderId="10" xfId="0" applyNumberFormat="1" applyFont="1" applyFill="1" applyBorder="1" applyAlignment="1">
      <alignment horizontal="right" vertical="center"/>
    </xf>
    <xf numFmtId="164" fontId="9" fillId="4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67" fontId="6" fillId="0" borderId="10" xfId="0" applyNumberFormat="1" applyFont="1" applyFill="1" applyBorder="1" applyAlignment="1">
      <alignment horizontal="right" vertical="center" wrapText="1"/>
    </xf>
    <xf numFmtId="167" fontId="7" fillId="38" borderId="10" xfId="0" applyNumberFormat="1" applyFont="1" applyFill="1" applyBorder="1" applyAlignment="1">
      <alignment horizontal="right" vertical="center" wrapText="1"/>
    </xf>
    <xf numFmtId="164" fontId="7" fillId="39" borderId="10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6" fillId="37" borderId="10" xfId="0" applyNumberFormat="1" applyFont="1" applyFill="1" applyBorder="1" applyAlignment="1">
      <alignment horizontal="left" vertical="top" wrapText="1"/>
    </xf>
    <xf numFmtId="164" fontId="6" fillId="37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left" vertical="center" wrapText="1"/>
    </xf>
    <xf numFmtId="167" fontId="7" fillId="39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49" applyNumberFormat="1" applyFont="1" applyBorder="1" applyAlignment="1">
      <alignment vertical="top" wrapText="1"/>
      <protection/>
    </xf>
    <xf numFmtId="0" fontId="6" fillId="0" borderId="10" xfId="49" applyNumberFormat="1" applyFont="1" applyBorder="1" applyAlignment="1">
      <alignment horizontal="left" vertical="center" wrapText="1"/>
      <protection/>
    </xf>
    <xf numFmtId="44" fontId="6" fillId="45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44" fontId="7" fillId="46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6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top"/>
    </xf>
    <xf numFmtId="0" fontId="0" fillId="39" borderId="13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6" fillId="0" borderId="10" xfId="0" applyNumberFormat="1" applyFont="1" applyBorder="1" applyAlignment="1">
      <alignment vertical="center" wrapText="1"/>
    </xf>
    <xf numFmtId="0" fontId="43" fillId="39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0" fontId="7" fillId="40" borderId="14" xfId="0" applyNumberFormat="1" applyFont="1" applyFill="1" applyBorder="1" applyAlignment="1">
      <alignment horizontal="center" vertical="center" wrapText="1"/>
    </xf>
    <xf numFmtId="0" fontId="7" fillId="40" borderId="11" xfId="0" applyNumberFormat="1" applyFont="1" applyFill="1" applyBorder="1" applyAlignment="1">
      <alignment horizontal="center" vertical="center" wrapText="1"/>
    </xf>
    <xf numFmtId="0" fontId="7" fillId="40" borderId="15" xfId="0" applyNumberFormat="1" applyFont="1" applyFill="1" applyBorder="1" applyAlignment="1">
      <alignment horizontal="center" vertical="center" wrapText="1"/>
    </xf>
    <xf numFmtId="0" fontId="7" fillId="40" borderId="14" xfId="0" applyNumberFormat="1" applyFont="1" applyFill="1" applyBorder="1" applyAlignment="1">
      <alignment horizontal="center" vertical="top" wrapText="1"/>
    </xf>
    <xf numFmtId="0" fontId="7" fillId="40" borderId="11" xfId="0" applyNumberFormat="1" applyFont="1" applyFill="1" applyBorder="1" applyAlignment="1">
      <alignment horizontal="center" vertical="top" wrapText="1"/>
    </xf>
    <xf numFmtId="0" fontId="7" fillId="40" borderId="15" xfId="0" applyNumberFormat="1" applyFont="1" applyFill="1" applyBorder="1" applyAlignment="1">
      <alignment horizontal="center" vertical="top" wrapText="1"/>
    </xf>
    <xf numFmtId="0" fontId="7" fillId="39" borderId="14" xfId="0" applyNumberFormat="1" applyFont="1" applyFill="1" applyBorder="1" applyAlignment="1">
      <alignment horizontal="center" vertical="top" wrapText="1"/>
    </xf>
    <xf numFmtId="0" fontId="7" fillId="39" borderId="11" xfId="0" applyNumberFormat="1" applyFont="1" applyFill="1" applyBorder="1" applyAlignment="1">
      <alignment horizontal="center" vertical="top" wrapText="1"/>
    </xf>
    <xf numFmtId="0" fontId="7" fillId="39" borderId="15" xfId="0" applyNumberFormat="1" applyFont="1" applyFill="1" applyBorder="1" applyAlignment="1">
      <alignment horizontal="center" vertical="top" wrapText="1"/>
    </xf>
    <xf numFmtId="0" fontId="6" fillId="40" borderId="14" xfId="0" applyNumberFormat="1" applyFont="1" applyFill="1" applyBorder="1" applyAlignment="1">
      <alignment horizontal="center" vertical="center"/>
    </xf>
    <xf numFmtId="0" fontId="6" fillId="40" borderId="11" xfId="0" applyNumberFormat="1" applyFont="1" applyFill="1" applyBorder="1" applyAlignment="1">
      <alignment horizontal="center" vertical="center"/>
    </xf>
    <xf numFmtId="0" fontId="6" fillId="40" borderId="15" xfId="0" applyNumberFormat="1" applyFont="1" applyFill="1" applyBorder="1" applyAlignment="1">
      <alignment horizontal="center" vertical="center"/>
    </xf>
    <xf numFmtId="0" fontId="2" fillId="43" borderId="14" xfId="0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0" fontId="9" fillId="44" borderId="14" xfId="0" applyNumberFormat="1" applyFont="1" applyFill="1" applyBorder="1" applyAlignment="1">
      <alignment horizontal="center" vertical="center" wrapText="1"/>
    </xf>
    <xf numFmtId="0" fontId="9" fillId="44" borderId="11" xfId="0" applyNumberFormat="1" applyFont="1" applyFill="1" applyBorder="1" applyAlignment="1">
      <alignment horizontal="center" vertical="center" wrapText="1"/>
    </xf>
    <xf numFmtId="0" fontId="9" fillId="44" borderId="15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6" fillId="37" borderId="12" xfId="0" applyNumberFormat="1" applyFont="1" applyFill="1" applyBorder="1" applyAlignment="1">
      <alignment vertical="center" wrapText="1"/>
    </xf>
    <xf numFmtId="0" fontId="6" fillId="37" borderId="13" xfId="0" applyNumberFormat="1" applyFont="1" applyFill="1" applyBorder="1" applyAlignment="1">
      <alignment vertical="center" wrapText="1"/>
    </xf>
    <xf numFmtId="0" fontId="2" fillId="43" borderId="15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15" xfId="0" applyFont="1" applyFill="1" applyBorder="1" applyAlignment="1">
      <alignment horizontal="center" vertical="center" wrapText="1"/>
    </xf>
    <xf numFmtId="0" fontId="4" fillId="47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38" borderId="14" xfId="0" applyNumberFormat="1" applyFont="1" applyFill="1" applyBorder="1" applyAlignment="1">
      <alignment horizontal="center" vertical="top" wrapText="1"/>
    </xf>
    <xf numFmtId="0" fontId="7" fillId="38" borderId="11" xfId="0" applyNumberFormat="1" applyFont="1" applyFill="1" applyBorder="1" applyAlignment="1">
      <alignment horizontal="center" vertical="top" wrapText="1"/>
    </xf>
    <xf numFmtId="0" fontId="7" fillId="38" borderId="15" xfId="0" applyNumberFormat="1" applyFont="1" applyFill="1" applyBorder="1" applyAlignment="1">
      <alignment horizontal="center" vertical="top" wrapText="1"/>
    </xf>
    <xf numFmtId="0" fontId="7" fillId="39" borderId="14" xfId="0" applyNumberFormat="1" applyFont="1" applyFill="1" applyBorder="1" applyAlignment="1">
      <alignment horizontal="center" vertical="center" wrapText="1"/>
    </xf>
    <xf numFmtId="0" fontId="7" fillId="39" borderId="11" xfId="0" applyNumberFormat="1" applyFont="1" applyFill="1" applyBorder="1" applyAlignment="1">
      <alignment horizontal="center" vertical="center" wrapText="1"/>
    </xf>
    <xf numFmtId="0" fontId="7" fillId="39" borderId="15" xfId="0" applyNumberFormat="1" applyFont="1" applyFill="1" applyBorder="1" applyAlignment="1">
      <alignment horizontal="center" vertical="center" wrapText="1"/>
    </xf>
    <xf numFmtId="0" fontId="9" fillId="43" borderId="10" xfId="0" applyNumberFormat="1" applyFont="1" applyFill="1" applyBorder="1" applyAlignment="1">
      <alignment horizontal="center" vertical="center" wrapText="1"/>
    </xf>
    <xf numFmtId="0" fontId="6" fillId="40" borderId="14" xfId="0" applyNumberFormat="1" applyFont="1" applyFill="1" applyBorder="1" applyAlignment="1">
      <alignment horizontal="center" vertical="center" wrapText="1"/>
    </xf>
    <xf numFmtId="0" fontId="6" fillId="40" borderId="11" xfId="0" applyNumberFormat="1" applyFont="1" applyFill="1" applyBorder="1" applyAlignment="1">
      <alignment horizontal="center" vertical="center" wrapText="1"/>
    </xf>
    <xf numFmtId="0" fontId="6" fillId="40" borderId="1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2000srv\documenti\PROGETTI\LEADER%202007-%202013\ATTUAZIONE\MISURA411\Misura%20411%20azione%203\I%20BANDO%202010\Domande%20presentate%20scad%20310510\LIQUIDAZIONI\Importi%20liquidat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%20Ravenna\Spese_C%20Ravenna_276065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%20Codigoro_2761072_ciclo%20codigoro-pontemaodino-pomposa\Spese_Codigoro_276107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2000srv\documenti\Users\marzia.cavazzini\Desktop\BROCHURE%20WORD%20DELTA%202000%202012\immagini%20e%20file%20utilizzate\412%203\verbali%20valutazione%20interna\Comune%20di%20Comacch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2000srv\documenti\Users\marzia.cavazzini\Desktop\BROCHURE%20WORD%20DELTA%202000%202012\immagini%20e%20file%20utilizzate\412%203\verbali%20valutazione%20interna\Comune%20di%20Lagosan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RCO_Pineta%20Marina%20di%20Ravenna\Spese_Ma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ARCO_Pineta%20di%20Cervia\Spese_Cerv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ARCO_Pineta%20di%20Classe\Spese_Class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ARCO_Pineta%20di%20Spina\Spese_Spi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%20Jolanda_2761133\Spese_Jolanda_276113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arco_2760974\Spese_Parco_27609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i liquidati"/>
    </sheetNames>
    <sheetDataSet>
      <sheetData sheetId="0">
        <row r="11">
          <cell r="K11">
            <v>816.070000000007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pese"/>
      <sheetName val="Computo"/>
      <sheetName val="Foglio3"/>
    </sheetNames>
    <sheetDataSet>
      <sheetData sheetId="0">
        <row r="10">
          <cell r="F10">
            <v>118799.89000000001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pese"/>
      <sheetName val="Computo"/>
      <sheetName val="Foglio3"/>
    </sheetNames>
    <sheetDataSet>
      <sheetData sheetId="0">
        <row r="11">
          <cell r="F11">
            <v>120000</v>
          </cell>
          <cell r="H11">
            <v>96000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2">
          <cell r="H12">
            <v>20270.25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2">
          <cell r="H12">
            <v>9618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F11">
            <v>99930.19</v>
          </cell>
          <cell r="H11">
            <v>99930.19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5">
          <cell r="F15">
            <v>124397.98</v>
          </cell>
          <cell r="H15">
            <v>124397.98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2">
          <cell r="F12">
            <v>99516.64</v>
          </cell>
          <cell r="H12">
            <v>99516.64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3">
          <cell r="F13">
            <v>89992.00000000001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pese"/>
      <sheetName val="Computo"/>
      <sheetName val="Foglio3"/>
    </sheetNames>
    <sheetDataSet>
      <sheetData sheetId="0">
        <row r="13">
          <cell r="F13">
            <v>92411.594</v>
          </cell>
          <cell r="H13">
            <v>73929.2752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ese"/>
      <sheetName val="Spese da computo"/>
      <sheetName val="Foglio3"/>
    </sheetNames>
    <sheetDataSet>
      <sheetData sheetId="0">
        <row r="12">
          <cell r="F12">
            <v>46100.48000000001</v>
          </cell>
          <cell r="H12">
            <v>36880.38400000001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1"/>
  <sheetViews>
    <sheetView tabSelected="1" zoomScale="75" zoomScaleNormal="75" zoomScaleSheetLayoutView="50" zoomScalePageLayoutView="0" workbookViewId="0" topLeftCell="A1">
      <pane ySplit="3" topLeftCell="A201" activePane="bottomLeft" state="frozen"/>
      <selection pane="topLeft" activeCell="A1" sqref="A1"/>
      <selection pane="bottomLeft" activeCell="J232" sqref="J232"/>
    </sheetView>
  </sheetViews>
  <sheetFormatPr defaultColWidth="9.140625" defaultRowHeight="15"/>
  <cols>
    <col min="1" max="1" width="28.421875" style="1" customWidth="1"/>
    <col min="2" max="2" width="9.7109375" style="1" customWidth="1"/>
    <col min="3" max="3" width="27.8515625" style="1" customWidth="1"/>
    <col min="4" max="4" width="27.8515625" style="62" customWidth="1"/>
    <col min="5" max="5" width="42.421875" style="68" customWidth="1"/>
    <col min="6" max="6" width="16.8515625" style="84" customWidth="1"/>
    <col min="7" max="7" width="17.421875" style="84" customWidth="1"/>
    <col min="8" max="8" width="14.28125" style="7" bestFit="1" customWidth="1"/>
    <col min="9" max="10" width="14.8515625" style="7" bestFit="1" customWidth="1"/>
    <col min="11" max="54" width="9.140625" style="7" customWidth="1"/>
    <col min="55" max="16384" width="9.140625" style="1" customWidth="1"/>
  </cols>
  <sheetData>
    <row r="1" spans="55:57" ht="15">
      <c r="BC1" s="7"/>
      <c r="BD1" s="7"/>
      <c r="BE1" s="7"/>
    </row>
    <row r="2" spans="1:57" ht="30.75" customHeight="1">
      <c r="A2" s="146" t="s">
        <v>306</v>
      </c>
      <c r="B2" s="146"/>
      <c r="C2" s="146"/>
      <c r="D2" s="146"/>
      <c r="E2" s="146"/>
      <c r="F2" s="146"/>
      <c r="G2" s="146"/>
      <c r="BC2" s="7"/>
      <c r="BD2" s="7"/>
      <c r="BE2" s="7"/>
    </row>
    <row r="3" spans="1:7" ht="73.5" customHeight="1">
      <c r="A3" s="29" t="s">
        <v>0</v>
      </c>
      <c r="B3" s="29" t="s">
        <v>346</v>
      </c>
      <c r="C3" s="5" t="s">
        <v>1</v>
      </c>
      <c r="D3" s="29" t="s">
        <v>345</v>
      </c>
      <c r="E3" s="6" t="s">
        <v>311</v>
      </c>
      <c r="F3" s="29" t="s">
        <v>307</v>
      </c>
      <c r="G3" s="6" t="s">
        <v>150</v>
      </c>
    </row>
    <row r="4" spans="1:7" ht="23.25" customHeight="1">
      <c r="A4" s="141" t="s">
        <v>2</v>
      </c>
      <c r="B4" s="142"/>
      <c r="C4" s="142"/>
      <c r="D4" s="142"/>
      <c r="E4" s="142"/>
      <c r="F4" s="142"/>
      <c r="G4" s="149"/>
    </row>
    <row r="5" spans="1:7" ht="30.75" customHeight="1">
      <c r="A5" s="150" t="s">
        <v>228</v>
      </c>
      <c r="B5" s="150"/>
      <c r="C5" s="150"/>
      <c r="D5" s="150"/>
      <c r="E5" s="150"/>
      <c r="F5" s="150"/>
      <c r="G5" s="151"/>
    </row>
    <row r="6" spans="1:7" ht="17.25" customHeight="1">
      <c r="A6" s="49" t="s">
        <v>308</v>
      </c>
      <c r="B6" s="43">
        <v>1</v>
      </c>
      <c r="C6" s="56" t="s">
        <v>3</v>
      </c>
      <c r="D6" s="63" t="s">
        <v>344</v>
      </c>
      <c r="E6" s="69" t="s">
        <v>4</v>
      </c>
      <c r="F6" s="85">
        <v>22995.73</v>
      </c>
      <c r="G6" s="85">
        <v>8048.51</v>
      </c>
    </row>
    <row r="7" spans="1:7" ht="45">
      <c r="A7" s="49" t="s">
        <v>308</v>
      </c>
      <c r="B7" s="43">
        <v>1</v>
      </c>
      <c r="C7" s="56" t="s">
        <v>5</v>
      </c>
      <c r="D7" s="63" t="s">
        <v>344</v>
      </c>
      <c r="E7" s="69" t="s">
        <v>6</v>
      </c>
      <c r="F7" s="85">
        <v>42072.67</v>
      </c>
      <c r="G7" s="85">
        <v>15086.57</v>
      </c>
    </row>
    <row r="8" spans="1:7" ht="45">
      <c r="A8" s="49" t="s">
        <v>308</v>
      </c>
      <c r="B8" s="43">
        <v>1</v>
      </c>
      <c r="C8" s="56" t="s">
        <v>8</v>
      </c>
      <c r="D8" s="63" t="s">
        <v>344</v>
      </c>
      <c r="E8" s="69" t="s">
        <v>9</v>
      </c>
      <c r="F8" s="85">
        <f>164300-2331.63</f>
        <v>161968.37</v>
      </c>
      <c r="G8" s="85">
        <f>57505-'[1]Importi liquidati'!$K$11</f>
        <v>56688.92999999999</v>
      </c>
    </row>
    <row r="9" spans="1:7" ht="45">
      <c r="A9" s="49" t="s">
        <v>308</v>
      </c>
      <c r="B9" s="43">
        <v>1</v>
      </c>
      <c r="C9" s="56" t="s">
        <v>10</v>
      </c>
      <c r="D9" s="63" t="s">
        <v>344</v>
      </c>
      <c r="E9" s="69" t="s">
        <v>11</v>
      </c>
      <c r="F9" s="85">
        <v>63000</v>
      </c>
      <c r="G9" s="85">
        <v>22050</v>
      </c>
    </row>
    <row r="10" spans="1:8" ht="60">
      <c r="A10" s="49" t="s">
        <v>308</v>
      </c>
      <c r="B10" s="43">
        <v>1</v>
      </c>
      <c r="C10" s="56" t="s">
        <v>12</v>
      </c>
      <c r="D10" s="63" t="s">
        <v>344</v>
      </c>
      <c r="E10" s="69" t="s">
        <v>13</v>
      </c>
      <c r="F10" s="85">
        <v>55653.32</v>
      </c>
      <c r="G10" s="85">
        <v>25043.99</v>
      </c>
      <c r="H10" s="27"/>
    </row>
    <row r="11" spans="1:54" s="9" customFormat="1" ht="30">
      <c r="A11" s="49" t="s">
        <v>309</v>
      </c>
      <c r="B11" s="50">
        <v>1</v>
      </c>
      <c r="C11" s="57" t="s">
        <v>154</v>
      </c>
      <c r="D11" s="63" t="s">
        <v>344</v>
      </c>
      <c r="E11" s="70" t="s">
        <v>155</v>
      </c>
      <c r="F11" s="85">
        <f>328998.89-34352.51</f>
        <v>294646.38</v>
      </c>
      <c r="G11" s="85">
        <f>133074.5-13241.33</f>
        <v>119833.17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s="9" customFormat="1" ht="15">
      <c r="A12" s="49" t="s">
        <v>309</v>
      </c>
      <c r="B12" s="50">
        <v>1</v>
      </c>
      <c r="C12" s="57" t="s">
        <v>157</v>
      </c>
      <c r="D12" s="63" t="s">
        <v>344</v>
      </c>
      <c r="E12" s="70" t="s">
        <v>156</v>
      </c>
      <c r="F12" s="85">
        <v>43200</v>
      </c>
      <c r="G12" s="85">
        <v>14245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s="9" customFormat="1" ht="27" customHeight="1">
      <c r="A13" s="49" t="s">
        <v>309</v>
      </c>
      <c r="B13" s="50">
        <v>1</v>
      </c>
      <c r="C13" s="57" t="s">
        <v>158</v>
      </c>
      <c r="D13" s="63" t="s">
        <v>344</v>
      </c>
      <c r="E13" s="69" t="s">
        <v>173</v>
      </c>
      <c r="F13" s="85">
        <v>245095.8</v>
      </c>
      <c r="G13" s="85">
        <v>79705.23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s="9" customFormat="1" ht="28.5" customHeight="1">
      <c r="A14" s="49" t="s">
        <v>309</v>
      </c>
      <c r="B14" s="50">
        <v>1</v>
      </c>
      <c r="C14" s="57" t="s">
        <v>159</v>
      </c>
      <c r="D14" s="63" t="s">
        <v>344</v>
      </c>
      <c r="E14" s="70" t="s">
        <v>156</v>
      </c>
      <c r="F14" s="85">
        <v>49380.17</v>
      </c>
      <c r="G14" s="85">
        <v>17213.06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s="9" customFormat="1" ht="31.5" customHeight="1">
      <c r="A15" s="49" t="s">
        <v>309</v>
      </c>
      <c r="B15" s="50">
        <v>1</v>
      </c>
      <c r="C15" s="57" t="s">
        <v>160</v>
      </c>
      <c r="D15" s="63" t="s">
        <v>344</v>
      </c>
      <c r="E15" s="70" t="s">
        <v>156</v>
      </c>
      <c r="F15" s="85">
        <v>107000</v>
      </c>
      <c r="G15" s="85">
        <v>37450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s="9" customFormat="1" ht="30">
      <c r="A16" s="49" t="s">
        <v>309</v>
      </c>
      <c r="B16" s="50">
        <v>1</v>
      </c>
      <c r="C16" s="57" t="s">
        <v>161</v>
      </c>
      <c r="D16" s="63" t="s">
        <v>344</v>
      </c>
      <c r="E16" s="70" t="s">
        <v>162</v>
      </c>
      <c r="F16" s="85">
        <v>37700</v>
      </c>
      <c r="G16" s="85">
        <v>13195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9" customFormat="1" ht="18" customHeight="1">
      <c r="A17" s="49" t="s">
        <v>309</v>
      </c>
      <c r="B17" s="50">
        <v>1</v>
      </c>
      <c r="C17" s="57" t="s">
        <v>163</v>
      </c>
      <c r="D17" s="63" t="s">
        <v>344</v>
      </c>
      <c r="E17" s="70" t="s">
        <v>156</v>
      </c>
      <c r="F17" s="85">
        <v>22600</v>
      </c>
      <c r="G17" s="85">
        <v>7910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s="9" customFormat="1" ht="17.25" customHeight="1">
      <c r="A18" s="49" t="s">
        <v>309</v>
      </c>
      <c r="B18" s="50">
        <v>1</v>
      </c>
      <c r="C18" s="57" t="s">
        <v>164</v>
      </c>
      <c r="D18" s="63" t="s">
        <v>344</v>
      </c>
      <c r="E18" s="70" t="s">
        <v>156</v>
      </c>
      <c r="F18" s="85">
        <f>197710-139100</f>
        <v>58610</v>
      </c>
      <c r="G18" s="85">
        <f>69198.5-48685</f>
        <v>20513.5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9" customFormat="1" ht="18.75" customHeight="1">
      <c r="A19" s="49" t="s">
        <v>309</v>
      </c>
      <c r="B19" s="50">
        <v>1</v>
      </c>
      <c r="C19" s="57" t="s">
        <v>165</v>
      </c>
      <c r="D19" s="63" t="s">
        <v>344</v>
      </c>
      <c r="E19" s="70" t="s">
        <v>156</v>
      </c>
      <c r="F19" s="85">
        <f>104500-2300.25</f>
        <v>102199.75</v>
      </c>
      <c r="G19" s="85">
        <f>36575-805.09</f>
        <v>35769.91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9" customFormat="1" ht="16.5" customHeight="1">
      <c r="A20" s="49" t="s">
        <v>309</v>
      </c>
      <c r="B20" s="50">
        <v>1</v>
      </c>
      <c r="C20" s="57" t="s">
        <v>166</v>
      </c>
      <c r="D20" s="63" t="s">
        <v>344</v>
      </c>
      <c r="E20" s="70" t="s">
        <v>156</v>
      </c>
      <c r="F20" s="85">
        <v>52250</v>
      </c>
      <c r="G20" s="85">
        <f>18287.5-1134.94</f>
        <v>17152.56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s="9" customFormat="1" ht="14.25" customHeight="1">
      <c r="A21" s="49" t="s">
        <v>309</v>
      </c>
      <c r="B21" s="50">
        <v>1</v>
      </c>
      <c r="C21" s="57" t="s">
        <v>167</v>
      </c>
      <c r="D21" s="63" t="s">
        <v>344</v>
      </c>
      <c r="E21" s="70" t="s">
        <v>156</v>
      </c>
      <c r="F21" s="85">
        <v>22000</v>
      </c>
      <c r="G21" s="85">
        <v>7700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9" customFormat="1" ht="15.75" customHeight="1">
      <c r="A22" s="49" t="s">
        <v>309</v>
      </c>
      <c r="B22" s="50">
        <v>1</v>
      </c>
      <c r="C22" s="57" t="s">
        <v>168</v>
      </c>
      <c r="D22" s="63" t="s">
        <v>344</v>
      </c>
      <c r="E22" s="70" t="s">
        <v>156</v>
      </c>
      <c r="F22" s="85">
        <f>33580-180</f>
        <v>33400</v>
      </c>
      <c r="G22" s="85">
        <f>11753-63</f>
        <v>11690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s="9" customFormat="1" ht="15" customHeight="1">
      <c r="A23" s="49" t="s">
        <v>309</v>
      </c>
      <c r="B23" s="50">
        <v>1</v>
      </c>
      <c r="C23" s="57" t="s">
        <v>169</v>
      </c>
      <c r="D23" s="63" t="s">
        <v>344</v>
      </c>
      <c r="E23" s="70" t="s">
        <v>156</v>
      </c>
      <c r="F23" s="85">
        <v>28050</v>
      </c>
      <c r="G23" s="85">
        <v>9817.5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54" s="9" customFormat="1" ht="15.75" customHeight="1">
      <c r="A24" s="49" t="s">
        <v>309</v>
      </c>
      <c r="B24" s="50">
        <v>1</v>
      </c>
      <c r="C24" s="57" t="s">
        <v>170</v>
      </c>
      <c r="D24" s="63" t="s">
        <v>344</v>
      </c>
      <c r="E24" s="70" t="s">
        <v>156</v>
      </c>
      <c r="F24" s="85">
        <v>53247</v>
      </c>
      <c r="G24" s="85">
        <v>18629.76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9" customFormat="1" ht="14.25" customHeight="1">
      <c r="A25" s="49" t="s">
        <v>309</v>
      </c>
      <c r="B25" s="50">
        <v>1</v>
      </c>
      <c r="C25" s="57" t="s">
        <v>171</v>
      </c>
      <c r="D25" s="63" t="s">
        <v>344</v>
      </c>
      <c r="E25" s="70" t="s">
        <v>156</v>
      </c>
      <c r="F25" s="85">
        <v>45190</v>
      </c>
      <c r="G25" s="85">
        <v>15816.5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9" customFormat="1" ht="30">
      <c r="A26" s="49" t="s">
        <v>309</v>
      </c>
      <c r="B26" s="50">
        <v>1</v>
      </c>
      <c r="C26" s="57" t="s">
        <v>172</v>
      </c>
      <c r="D26" s="63" t="s">
        <v>344</v>
      </c>
      <c r="E26" s="70" t="s">
        <v>173</v>
      </c>
      <c r="F26" s="85">
        <v>139900</v>
      </c>
      <c r="G26" s="85">
        <v>48965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s="9" customFormat="1" ht="15" customHeight="1">
      <c r="A27" s="49" t="s">
        <v>309</v>
      </c>
      <c r="B27" s="50">
        <v>1</v>
      </c>
      <c r="C27" s="57" t="s">
        <v>174</v>
      </c>
      <c r="D27" s="63" t="s">
        <v>344</v>
      </c>
      <c r="E27" s="70" t="s">
        <v>156</v>
      </c>
      <c r="F27" s="85">
        <v>96300</v>
      </c>
      <c r="G27" s="85">
        <v>32326.9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9" customFormat="1" ht="33.75" customHeight="1">
      <c r="A28" s="49" t="s">
        <v>309</v>
      </c>
      <c r="B28" s="50">
        <v>1</v>
      </c>
      <c r="C28" s="57" t="s">
        <v>175</v>
      </c>
      <c r="D28" s="63" t="s">
        <v>344</v>
      </c>
      <c r="E28" s="70" t="s">
        <v>156</v>
      </c>
      <c r="F28" s="85">
        <v>159000</v>
      </c>
      <c r="G28" s="85">
        <v>55650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s="9" customFormat="1" ht="15">
      <c r="A29" s="49" t="s">
        <v>309</v>
      </c>
      <c r="B29" s="50">
        <v>1</v>
      </c>
      <c r="C29" s="57" t="s">
        <v>176</v>
      </c>
      <c r="D29" s="63" t="s">
        <v>344</v>
      </c>
      <c r="E29" s="70" t="s">
        <v>156</v>
      </c>
      <c r="F29" s="85">
        <v>182500</v>
      </c>
      <c r="G29" s="85">
        <v>63875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</row>
    <row r="30" spans="1:54" s="9" customFormat="1" ht="30">
      <c r="A30" s="49" t="s">
        <v>309</v>
      </c>
      <c r="B30" s="50">
        <v>1</v>
      </c>
      <c r="C30" s="57" t="s">
        <v>177</v>
      </c>
      <c r="D30" s="63" t="s">
        <v>344</v>
      </c>
      <c r="E30" s="70" t="s">
        <v>178</v>
      </c>
      <c r="F30" s="85">
        <v>29263.4</v>
      </c>
      <c r="G30" s="85">
        <f>10710.36-140.49</f>
        <v>10569.87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</row>
    <row r="31" spans="1:54" s="9" customFormat="1" ht="27.75" customHeight="1">
      <c r="A31" s="49" t="s">
        <v>309</v>
      </c>
      <c r="B31" s="50">
        <v>1</v>
      </c>
      <c r="C31" s="57" t="s">
        <v>179</v>
      </c>
      <c r="D31" s="63" t="s">
        <v>344</v>
      </c>
      <c r="E31" s="70" t="s">
        <v>156</v>
      </c>
      <c r="F31" s="85">
        <v>250000</v>
      </c>
      <c r="G31" s="85">
        <v>87500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</row>
    <row r="32" spans="1:54" s="9" customFormat="1" ht="45">
      <c r="A32" s="49" t="s">
        <v>309</v>
      </c>
      <c r="B32" s="50">
        <v>1</v>
      </c>
      <c r="C32" s="57" t="s">
        <v>180</v>
      </c>
      <c r="D32" s="63" t="s">
        <v>344</v>
      </c>
      <c r="E32" s="70" t="s">
        <v>156</v>
      </c>
      <c r="F32" s="85">
        <v>46490</v>
      </c>
      <c r="G32" s="85">
        <f>16271.5-331.9</f>
        <v>15939.6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</row>
    <row r="33" spans="1:54" s="9" customFormat="1" ht="33" customHeight="1">
      <c r="A33" s="49" t="s">
        <v>309</v>
      </c>
      <c r="B33" s="50">
        <v>1</v>
      </c>
      <c r="C33" s="57" t="s">
        <v>181</v>
      </c>
      <c r="D33" s="63" t="s">
        <v>344</v>
      </c>
      <c r="E33" s="70" t="s">
        <v>156</v>
      </c>
      <c r="F33" s="85">
        <v>64600</v>
      </c>
      <c r="G33" s="85">
        <v>22610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</row>
    <row r="34" spans="1:54" s="9" customFormat="1" ht="45" customHeight="1">
      <c r="A34" s="49" t="s">
        <v>309</v>
      </c>
      <c r="B34" s="50">
        <v>1</v>
      </c>
      <c r="C34" s="58" t="s">
        <v>182</v>
      </c>
      <c r="D34" s="63" t="s">
        <v>344</v>
      </c>
      <c r="E34" s="71" t="s">
        <v>183</v>
      </c>
      <c r="F34" s="85">
        <v>1038840.5700000001</v>
      </c>
      <c r="G34" s="85">
        <f>415536.23-59332.42</f>
        <v>356203.81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</row>
    <row r="35" spans="1:54" s="9" customFormat="1" ht="15">
      <c r="A35" s="49" t="s">
        <v>309</v>
      </c>
      <c r="B35" s="50">
        <v>1</v>
      </c>
      <c r="C35" s="57" t="s">
        <v>184</v>
      </c>
      <c r="D35" s="63" t="s">
        <v>344</v>
      </c>
      <c r="E35" s="70" t="s">
        <v>185</v>
      </c>
      <c r="F35" s="85">
        <v>21310</v>
      </c>
      <c r="G35" s="85">
        <f>7458.5-33.6</f>
        <v>7424.9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</row>
    <row r="36" spans="1:54" s="9" customFormat="1" ht="15.75" customHeight="1">
      <c r="A36" s="49" t="s">
        <v>309</v>
      </c>
      <c r="B36" s="50">
        <v>1</v>
      </c>
      <c r="C36" s="57" t="s">
        <v>186</v>
      </c>
      <c r="D36" s="63" t="s">
        <v>344</v>
      </c>
      <c r="E36" s="70" t="s">
        <v>156</v>
      </c>
      <c r="F36" s="85">
        <v>50800</v>
      </c>
      <c r="G36" s="85">
        <v>17780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</row>
    <row r="37" spans="1:54" s="9" customFormat="1" ht="15">
      <c r="A37" s="49" t="s">
        <v>309</v>
      </c>
      <c r="B37" s="50">
        <v>1</v>
      </c>
      <c r="C37" s="57" t="s">
        <v>187</v>
      </c>
      <c r="D37" s="63" t="s">
        <v>344</v>
      </c>
      <c r="E37" s="70" t="s">
        <v>156</v>
      </c>
      <c r="F37" s="85">
        <v>161121.58000000002</v>
      </c>
      <c r="G37" s="85">
        <f>58093.63-610.32</f>
        <v>57483.31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</row>
    <row r="38" spans="1:54" s="9" customFormat="1" ht="45">
      <c r="A38" s="49" t="s">
        <v>309</v>
      </c>
      <c r="B38" s="50">
        <v>1</v>
      </c>
      <c r="C38" s="57" t="s">
        <v>188</v>
      </c>
      <c r="D38" s="63" t="s">
        <v>344</v>
      </c>
      <c r="E38" s="70" t="s">
        <v>156</v>
      </c>
      <c r="F38" s="85">
        <v>122000</v>
      </c>
      <c r="G38" s="85">
        <v>42700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</row>
    <row r="39" spans="1:54" s="9" customFormat="1" ht="15" customHeight="1">
      <c r="A39" s="49" t="s">
        <v>309</v>
      </c>
      <c r="B39" s="50">
        <v>1</v>
      </c>
      <c r="C39" s="57" t="s">
        <v>189</v>
      </c>
      <c r="D39" s="63" t="s">
        <v>344</v>
      </c>
      <c r="E39" s="70" t="s">
        <v>156</v>
      </c>
      <c r="F39" s="85">
        <v>59838.020000000004</v>
      </c>
      <c r="G39" s="85">
        <v>16627.27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s="9" customFormat="1" ht="47.25" customHeight="1">
      <c r="A40" s="49" t="s">
        <v>309</v>
      </c>
      <c r="B40" s="50">
        <v>1</v>
      </c>
      <c r="C40" s="57" t="s">
        <v>190</v>
      </c>
      <c r="D40" s="63" t="s">
        <v>344</v>
      </c>
      <c r="E40" s="70" t="s">
        <v>156</v>
      </c>
      <c r="F40" s="85">
        <v>249950</v>
      </c>
      <c r="G40" s="85">
        <v>87482.5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</row>
    <row r="41" spans="1:54" s="9" customFormat="1" ht="17.25" customHeight="1">
      <c r="A41" s="49" t="s">
        <v>309</v>
      </c>
      <c r="B41" s="50">
        <v>1</v>
      </c>
      <c r="C41" s="57" t="s">
        <v>191</v>
      </c>
      <c r="D41" s="63" t="s">
        <v>344</v>
      </c>
      <c r="E41" s="70" t="s">
        <v>156</v>
      </c>
      <c r="F41" s="85">
        <v>69170</v>
      </c>
      <c r="G41" s="85">
        <v>24318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</row>
    <row r="42" spans="1:54" s="9" customFormat="1" ht="35.25" customHeight="1">
      <c r="A42" s="49" t="s">
        <v>309</v>
      </c>
      <c r="B42" s="165">
        <v>1</v>
      </c>
      <c r="C42" s="147" t="s">
        <v>192</v>
      </c>
      <c r="D42" s="63" t="s">
        <v>344</v>
      </c>
      <c r="E42" s="153" t="s">
        <v>193</v>
      </c>
      <c r="F42" s="85">
        <v>314926.73</v>
      </c>
      <c r="G42" s="85">
        <f>122558.79-0.08</f>
        <v>122558.70999999999</v>
      </c>
      <c r="H42" s="2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</row>
    <row r="43" spans="1:54" s="9" customFormat="1" ht="25.5" customHeight="1" hidden="1">
      <c r="A43" s="49" t="s">
        <v>309</v>
      </c>
      <c r="B43" s="165"/>
      <c r="C43" s="148"/>
      <c r="D43" s="63" t="s">
        <v>344</v>
      </c>
      <c r="E43" s="154"/>
      <c r="F43" s="85"/>
      <c r="G43" s="85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ht="30">
      <c r="A44" s="49" t="s">
        <v>309</v>
      </c>
      <c r="B44" s="30">
        <v>1</v>
      </c>
      <c r="C44" s="59" t="s">
        <v>194</v>
      </c>
      <c r="D44" s="63" t="s">
        <v>344</v>
      </c>
      <c r="E44" s="72" t="s">
        <v>272</v>
      </c>
      <c r="F44" s="85">
        <v>239317.9</v>
      </c>
      <c r="G44" s="85">
        <v>105306.35</v>
      </c>
      <c r="H44" s="2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s="8" customFormat="1" ht="13.5" customHeight="1">
      <c r="A45" s="49" t="s">
        <v>309</v>
      </c>
      <c r="B45" s="50">
        <v>1</v>
      </c>
      <c r="C45" s="56" t="s">
        <v>195</v>
      </c>
      <c r="D45" s="63" t="s">
        <v>344</v>
      </c>
      <c r="E45" s="69" t="s">
        <v>173</v>
      </c>
      <c r="F45" s="85">
        <v>41610</v>
      </c>
      <c r="G45" s="85">
        <v>14563.5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</row>
    <row r="46" spans="1:54" s="8" customFormat="1" ht="17.25" customHeight="1">
      <c r="A46" s="49" t="s">
        <v>309</v>
      </c>
      <c r="B46" s="50">
        <v>1</v>
      </c>
      <c r="C46" s="56" t="s">
        <v>196</v>
      </c>
      <c r="D46" s="63" t="s">
        <v>344</v>
      </c>
      <c r="E46" s="69" t="s">
        <v>156</v>
      </c>
      <c r="F46" s="85">
        <v>40235.5</v>
      </c>
      <c r="G46" s="85">
        <v>14082.425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</row>
    <row r="47" spans="1:54" s="8" customFormat="1" ht="26.25" customHeight="1">
      <c r="A47" s="49" t="s">
        <v>309</v>
      </c>
      <c r="B47" s="50">
        <v>1</v>
      </c>
      <c r="C47" s="56" t="s">
        <v>208</v>
      </c>
      <c r="D47" s="63" t="s">
        <v>344</v>
      </c>
      <c r="E47" s="69" t="s">
        <v>156</v>
      </c>
      <c r="F47" s="85">
        <f>2367578-20074</f>
        <v>2347504</v>
      </c>
      <c r="G47" s="85">
        <f>828652.3-7025.9</f>
        <v>821626.4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</row>
    <row r="48" spans="1:54" s="8" customFormat="1" ht="16.5" customHeight="1">
      <c r="A48" s="49" t="s">
        <v>309</v>
      </c>
      <c r="B48" s="50">
        <v>1</v>
      </c>
      <c r="C48" s="56" t="s">
        <v>197</v>
      </c>
      <c r="D48" s="63" t="s">
        <v>344</v>
      </c>
      <c r="E48" s="69" t="s">
        <v>156</v>
      </c>
      <c r="F48" s="85">
        <v>25850</v>
      </c>
      <c r="G48" s="85">
        <v>9047.5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</row>
    <row r="49" spans="1:54" s="8" customFormat="1" ht="19.5" customHeight="1">
      <c r="A49" s="49" t="s">
        <v>309</v>
      </c>
      <c r="B49" s="50">
        <v>1</v>
      </c>
      <c r="C49" s="56" t="s">
        <v>198</v>
      </c>
      <c r="D49" s="63" t="s">
        <v>344</v>
      </c>
      <c r="E49" s="69" t="s">
        <v>173</v>
      </c>
      <c r="F49" s="85">
        <v>117234</v>
      </c>
      <c r="G49" s="85">
        <f>41031.9-490</f>
        <v>40541.9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</row>
    <row r="50" spans="1:54" s="8" customFormat="1" ht="30.75" customHeight="1">
      <c r="A50" s="49" t="s">
        <v>309</v>
      </c>
      <c r="B50" s="50">
        <v>1</v>
      </c>
      <c r="C50" s="56" t="s">
        <v>199</v>
      </c>
      <c r="D50" s="63" t="s">
        <v>344</v>
      </c>
      <c r="E50" s="69" t="s">
        <v>156</v>
      </c>
      <c r="F50" s="85">
        <v>89670</v>
      </c>
      <c r="G50" s="85">
        <v>31384.5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</row>
    <row r="51" spans="1:54" s="8" customFormat="1" ht="15" customHeight="1">
      <c r="A51" s="49" t="s">
        <v>309</v>
      </c>
      <c r="B51" s="50">
        <v>1</v>
      </c>
      <c r="C51" s="56" t="s">
        <v>200</v>
      </c>
      <c r="D51" s="63" t="s">
        <v>344</v>
      </c>
      <c r="E51" s="69" t="s">
        <v>156</v>
      </c>
      <c r="F51" s="85">
        <f>83980-200</f>
        <v>83780</v>
      </c>
      <c r="G51" s="85">
        <f>31971-70</f>
        <v>31901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</row>
    <row r="52" spans="1:54" s="8" customFormat="1" ht="31.5" customHeight="1">
      <c r="A52" s="49" t="s">
        <v>309</v>
      </c>
      <c r="B52" s="50">
        <v>1</v>
      </c>
      <c r="C52" s="56" t="s">
        <v>201</v>
      </c>
      <c r="D52" s="63" t="s">
        <v>344</v>
      </c>
      <c r="E52" s="69" t="s">
        <v>202</v>
      </c>
      <c r="F52" s="85">
        <f>96181.42-37931.22</f>
        <v>58250.2</v>
      </c>
      <c r="G52" s="85">
        <f>38072.57-11972.49</f>
        <v>26100.08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</row>
    <row r="53" spans="1:54" s="8" customFormat="1" ht="30">
      <c r="A53" s="49" t="s">
        <v>309</v>
      </c>
      <c r="B53" s="50">
        <v>1</v>
      </c>
      <c r="C53" s="57" t="s">
        <v>203</v>
      </c>
      <c r="D53" s="63" t="s">
        <v>344</v>
      </c>
      <c r="E53" s="70" t="s">
        <v>162</v>
      </c>
      <c r="F53" s="85">
        <f>213000-18365.8</f>
        <v>194634.2</v>
      </c>
      <c r="G53" s="85">
        <f>83763.4201221398-6428.03</f>
        <v>77335.3901221398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</row>
    <row r="54" spans="1:54" s="8" customFormat="1" ht="18.75" customHeight="1">
      <c r="A54" s="49" t="s">
        <v>309</v>
      </c>
      <c r="B54" s="51">
        <v>1</v>
      </c>
      <c r="C54" s="56" t="s">
        <v>204</v>
      </c>
      <c r="D54" s="63" t="s">
        <v>344</v>
      </c>
      <c r="E54" s="69" t="s">
        <v>156</v>
      </c>
      <c r="F54" s="85">
        <v>72100</v>
      </c>
      <c r="G54" s="85">
        <f>25235-735</f>
        <v>24500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</row>
    <row r="55" spans="1:54" s="8" customFormat="1" ht="30">
      <c r="A55" s="49" t="s">
        <v>309</v>
      </c>
      <c r="B55" s="51">
        <v>1</v>
      </c>
      <c r="C55" s="56" t="s">
        <v>205</v>
      </c>
      <c r="D55" s="63" t="s">
        <v>344</v>
      </c>
      <c r="E55" s="69" t="s">
        <v>156</v>
      </c>
      <c r="F55" s="85">
        <v>193000</v>
      </c>
      <c r="G55" s="85">
        <f>67550-350</f>
        <v>67200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</row>
    <row r="56" spans="1:54" s="8" customFormat="1" ht="29.25" customHeight="1">
      <c r="A56" s="49" t="s">
        <v>309</v>
      </c>
      <c r="B56" s="51">
        <v>1</v>
      </c>
      <c r="C56" s="60" t="s">
        <v>206</v>
      </c>
      <c r="D56" s="63" t="s">
        <v>344</v>
      </c>
      <c r="E56" s="73" t="s">
        <v>156</v>
      </c>
      <c r="F56" s="85">
        <v>241686</v>
      </c>
      <c r="G56" s="85">
        <f>84590.1-555.1</f>
        <v>84035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</row>
    <row r="57" spans="1:54" s="8" customFormat="1" ht="18" customHeight="1">
      <c r="A57" s="49" t="s">
        <v>309</v>
      </c>
      <c r="B57" s="51">
        <v>1</v>
      </c>
      <c r="C57" s="56" t="s">
        <v>207</v>
      </c>
      <c r="D57" s="63" t="s">
        <v>344</v>
      </c>
      <c r="E57" s="69" t="s">
        <v>156</v>
      </c>
      <c r="F57" s="85">
        <v>76700</v>
      </c>
      <c r="G57" s="85">
        <f>26845-340.9</f>
        <v>26504.1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</row>
    <row r="58" spans="1:54" s="8" customFormat="1" ht="15">
      <c r="A58" s="49" t="s">
        <v>309</v>
      </c>
      <c r="B58" s="52">
        <v>1</v>
      </c>
      <c r="C58" s="60" t="s">
        <v>190</v>
      </c>
      <c r="D58" s="63" t="s">
        <v>344</v>
      </c>
      <c r="E58" s="73" t="s">
        <v>156</v>
      </c>
      <c r="F58" s="85">
        <v>22100</v>
      </c>
      <c r="G58" s="85">
        <f>7735-210</f>
        <v>7525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</row>
    <row r="59" spans="1:54" s="8" customFormat="1" ht="13.5" customHeight="1">
      <c r="A59" s="49" t="s">
        <v>309</v>
      </c>
      <c r="B59" s="52">
        <v>1</v>
      </c>
      <c r="C59" s="60" t="s">
        <v>209</v>
      </c>
      <c r="D59" s="63" t="s">
        <v>344</v>
      </c>
      <c r="E59" s="73" t="s">
        <v>156</v>
      </c>
      <c r="F59" s="85">
        <v>279822</v>
      </c>
      <c r="G59" s="85">
        <f>97937.7-185.5</f>
        <v>97752.2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</row>
    <row r="60" spans="1:54" s="8" customFormat="1" ht="33" customHeight="1">
      <c r="A60" s="49" t="s">
        <v>309</v>
      </c>
      <c r="B60" s="50">
        <v>1</v>
      </c>
      <c r="C60" s="57" t="s">
        <v>210</v>
      </c>
      <c r="D60" s="63" t="s">
        <v>344</v>
      </c>
      <c r="E60" s="70" t="s">
        <v>156</v>
      </c>
      <c r="F60" s="85">
        <v>33500</v>
      </c>
      <c r="G60" s="85">
        <v>11725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</row>
    <row r="61" spans="1:54" s="8" customFormat="1" ht="18" customHeight="1">
      <c r="A61" s="49" t="s">
        <v>309</v>
      </c>
      <c r="B61" s="50">
        <v>1</v>
      </c>
      <c r="C61" s="57" t="s">
        <v>211</v>
      </c>
      <c r="D61" s="63" t="s">
        <v>344</v>
      </c>
      <c r="E61" s="70" t="s">
        <v>156</v>
      </c>
      <c r="F61" s="85">
        <v>37500</v>
      </c>
      <c r="G61" s="85">
        <f>13125-875</f>
        <v>12250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</row>
    <row r="62" spans="1:54" s="13" customFormat="1" ht="17.25" customHeight="1">
      <c r="A62" s="49" t="s">
        <v>310</v>
      </c>
      <c r="B62" s="50">
        <v>1</v>
      </c>
      <c r="C62" s="57" t="s">
        <v>253</v>
      </c>
      <c r="D62" s="63" t="s">
        <v>344</v>
      </c>
      <c r="E62" s="74" t="s">
        <v>254</v>
      </c>
      <c r="F62" s="85">
        <v>25460</v>
      </c>
      <c r="G62" s="85">
        <f>8911-161</f>
        <v>8750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</row>
    <row r="63" spans="1:54" s="13" customFormat="1" ht="30" customHeight="1">
      <c r="A63" s="49" t="s">
        <v>310</v>
      </c>
      <c r="B63" s="50">
        <v>1</v>
      </c>
      <c r="C63" s="57" t="s">
        <v>255</v>
      </c>
      <c r="D63" s="63" t="s">
        <v>344</v>
      </c>
      <c r="E63" s="74" t="s">
        <v>254</v>
      </c>
      <c r="F63" s="85">
        <v>166200</v>
      </c>
      <c r="G63" s="85">
        <v>58170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</row>
    <row r="64" spans="1:54" s="13" customFormat="1" ht="15" customHeight="1">
      <c r="A64" s="49" t="s">
        <v>310</v>
      </c>
      <c r="B64" s="50">
        <v>1</v>
      </c>
      <c r="C64" s="57" t="s">
        <v>256</v>
      </c>
      <c r="D64" s="63" t="s">
        <v>344</v>
      </c>
      <c r="E64" s="74" t="s">
        <v>254</v>
      </c>
      <c r="F64" s="85">
        <v>35189</v>
      </c>
      <c r="G64" s="85">
        <v>12316.15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</row>
    <row r="65" spans="1:54" s="13" customFormat="1" ht="18.75" customHeight="1">
      <c r="A65" s="49" t="s">
        <v>310</v>
      </c>
      <c r="B65" s="50">
        <v>1</v>
      </c>
      <c r="C65" s="57" t="s">
        <v>257</v>
      </c>
      <c r="D65" s="63" t="s">
        <v>344</v>
      </c>
      <c r="E65" s="74" t="s">
        <v>254</v>
      </c>
      <c r="F65" s="85">
        <v>33980</v>
      </c>
      <c r="G65" s="85">
        <v>11893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</row>
    <row r="66" spans="1:54" s="13" customFormat="1" ht="15.75" customHeight="1">
      <c r="A66" s="49" t="s">
        <v>310</v>
      </c>
      <c r="B66" s="50">
        <v>1</v>
      </c>
      <c r="C66" s="57" t="s">
        <v>258</v>
      </c>
      <c r="D66" s="63" t="s">
        <v>344</v>
      </c>
      <c r="E66" s="74" t="s">
        <v>254</v>
      </c>
      <c r="F66" s="85">
        <f>47900-1300</f>
        <v>46600</v>
      </c>
      <c r="G66" s="85">
        <f>16555-245</f>
        <v>16310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</row>
    <row r="67" spans="1:54" s="13" customFormat="1" ht="30">
      <c r="A67" s="49" t="s">
        <v>310</v>
      </c>
      <c r="B67" s="50">
        <v>1</v>
      </c>
      <c r="C67" s="57" t="s">
        <v>259</v>
      </c>
      <c r="D67" s="63" t="s">
        <v>344</v>
      </c>
      <c r="E67" s="74" t="s">
        <v>254</v>
      </c>
      <c r="F67" s="85">
        <v>43609</v>
      </c>
      <c r="G67" s="85">
        <f>15263.15-640.29</f>
        <v>14622.86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</row>
    <row r="68" spans="1:54" s="13" customFormat="1" ht="16.5" customHeight="1">
      <c r="A68" s="49" t="s">
        <v>310</v>
      </c>
      <c r="B68" s="50">
        <v>1</v>
      </c>
      <c r="C68" s="57" t="s">
        <v>260</v>
      </c>
      <c r="D68" s="63" t="s">
        <v>344</v>
      </c>
      <c r="E68" s="74" t="s">
        <v>254</v>
      </c>
      <c r="F68" s="85">
        <v>245550</v>
      </c>
      <c r="G68" s="85">
        <v>85942.5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</row>
    <row r="69" spans="1:54" s="13" customFormat="1" ht="14.25" customHeight="1">
      <c r="A69" s="49" t="s">
        <v>310</v>
      </c>
      <c r="B69" s="50">
        <v>1</v>
      </c>
      <c r="C69" s="57" t="s">
        <v>261</v>
      </c>
      <c r="D69" s="63" t="s">
        <v>344</v>
      </c>
      <c r="E69" s="74" t="s">
        <v>254</v>
      </c>
      <c r="F69" s="85">
        <v>21950</v>
      </c>
      <c r="G69" s="85">
        <f>7682.5-348.39</f>
        <v>7334.11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</row>
    <row r="70" spans="1:54" s="13" customFormat="1" ht="15" customHeight="1">
      <c r="A70" s="49" t="s">
        <v>310</v>
      </c>
      <c r="B70" s="50">
        <v>1</v>
      </c>
      <c r="C70" s="57" t="s">
        <v>174</v>
      </c>
      <c r="D70" s="63" t="s">
        <v>344</v>
      </c>
      <c r="E70" s="74" t="s">
        <v>254</v>
      </c>
      <c r="F70" s="85">
        <v>42100</v>
      </c>
      <c r="G70" s="85">
        <v>14735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</row>
    <row r="71" spans="1:54" s="13" customFormat="1" ht="15.75" customHeight="1">
      <c r="A71" s="49" t="s">
        <v>310</v>
      </c>
      <c r="B71" s="50">
        <v>1</v>
      </c>
      <c r="C71" s="57" t="s">
        <v>262</v>
      </c>
      <c r="D71" s="63" t="s">
        <v>344</v>
      </c>
      <c r="E71" s="74" t="s">
        <v>254</v>
      </c>
      <c r="F71" s="85">
        <v>48600</v>
      </c>
      <c r="G71" s="85">
        <f>17010-1102.5</f>
        <v>15907.5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</row>
    <row r="72" spans="1:54" s="13" customFormat="1" ht="15.75" customHeight="1">
      <c r="A72" s="49" t="s">
        <v>310</v>
      </c>
      <c r="B72" s="50">
        <v>1</v>
      </c>
      <c r="C72" s="57" t="s">
        <v>171</v>
      </c>
      <c r="D72" s="63" t="s">
        <v>344</v>
      </c>
      <c r="E72" s="74" t="s">
        <v>254</v>
      </c>
      <c r="F72" s="85">
        <v>28429</v>
      </c>
      <c r="G72" s="85">
        <f>9950.15-201.07</f>
        <v>9749.08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</row>
    <row r="73" spans="1:54" s="13" customFormat="1" ht="17.25" customHeight="1">
      <c r="A73" s="49" t="s">
        <v>310</v>
      </c>
      <c r="B73" s="50">
        <v>1</v>
      </c>
      <c r="C73" s="57" t="s">
        <v>263</v>
      </c>
      <c r="D73" s="63" t="s">
        <v>344</v>
      </c>
      <c r="E73" s="74" t="s">
        <v>254</v>
      </c>
      <c r="F73" s="85">
        <v>90570</v>
      </c>
      <c r="G73" s="85">
        <v>31699.5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</row>
    <row r="74" spans="1:54" s="13" customFormat="1" ht="16.5" customHeight="1">
      <c r="A74" s="49" t="s">
        <v>310</v>
      </c>
      <c r="B74" s="50">
        <v>1</v>
      </c>
      <c r="C74" s="57" t="s">
        <v>164</v>
      </c>
      <c r="D74" s="63" t="s">
        <v>344</v>
      </c>
      <c r="E74" s="74" t="s">
        <v>254</v>
      </c>
      <c r="F74" s="85">
        <v>25140</v>
      </c>
      <c r="G74" s="85">
        <v>8799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</row>
    <row r="75" spans="1:54" s="13" customFormat="1" ht="35.25" customHeight="1">
      <c r="A75" s="49" t="s">
        <v>310</v>
      </c>
      <c r="B75" s="50">
        <v>1</v>
      </c>
      <c r="C75" s="57" t="s">
        <v>264</v>
      </c>
      <c r="D75" s="63" t="s">
        <v>344</v>
      </c>
      <c r="E75" s="74" t="s">
        <v>254</v>
      </c>
      <c r="F75" s="85">
        <v>187800</v>
      </c>
      <c r="G75" s="85">
        <v>65730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</row>
    <row r="76" spans="1:54" s="13" customFormat="1" ht="15" customHeight="1">
      <c r="A76" s="49" t="s">
        <v>310</v>
      </c>
      <c r="B76" s="50">
        <v>1</v>
      </c>
      <c r="C76" s="57" t="s">
        <v>265</v>
      </c>
      <c r="D76" s="63" t="s">
        <v>344</v>
      </c>
      <c r="E76" s="74" t="s">
        <v>254</v>
      </c>
      <c r="F76" s="85">
        <v>39000</v>
      </c>
      <c r="G76" s="85">
        <v>13650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</row>
    <row r="77" spans="1:54" s="13" customFormat="1" ht="15">
      <c r="A77" s="49" t="s">
        <v>310</v>
      </c>
      <c r="B77" s="50">
        <v>1</v>
      </c>
      <c r="C77" s="57" t="s">
        <v>276</v>
      </c>
      <c r="D77" s="63" t="s">
        <v>344</v>
      </c>
      <c r="E77" s="74" t="s">
        <v>254</v>
      </c>
      <c r="F77" s="85">
        <v>29600</v>
      </c>
      <c r="G77" s="85">
        <f aca="true" t="shared" si="0" ref="G77:G105">F77*35/100</f>
        <v>10360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</row>
    <row r="78" spans="1:54" s="13" customFormat="1" ht="30">
      <c r="A78" s="49" t="s">
        <v>310</v>
      </c>
      <c r="B78" s="50">
        <v>1</v>
      </c>
      <c r="C78" s="57" t="s">
        <v>277</v>
      </c>
      <c r="D78" s="63" t="s">
        <v>344</v>
      </c>
      <c r="E78" s="74" t="s">
        <v>254</v>
      </c>
      <c r="F78" s="85">
        <v>33750</v>
      </c>
      <c r="G78" s="85">
        <f t="shared" si="0"/>
        <v>11812.5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</row>
    <row r="79" spans="1:54" s="13" customFormat="1" ht="15">
      <c r="A79" s="49" t="s">
        <v>310</v>
      </c>
      <c r="B79" s="50">
        <v>1</v>
      </c>
      <c r="C79" s="57" t="s">
        <v>158</v>
      </c>
      <c r="D79" s="63" t="s">
        <v>344</v>
      </c>
      <c r="E79" s="74" t="s">
        <v>254</v>
      </c>
      <c r="F79" s="85">
        <v>206950</v>
      </c>
      <c r="G79" s="85">
        <f>72432.5-630</f>
        <v>71802.5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</row>
    <row r="80" spans="1:54" s="13" customFormat="1" ht="30">
      <c r="A80" s="49" t="s">
        <v>310</v>
      </c>
      <c r="B80" s="50">
        <v>1</v>
      </c>
      <c r="C80" s="57" t="s">
        <v>278</v>
      </c>
      <c r="D80" s="63" t="s">
        <v>344</v>
      </c>
      <c r="E80" s="74" t="s">
        <v>254</v>
      </c>
      <c r="F80" s="85">
        <v>39397.5</v>
      </c>
      <c r="G80" s="85">
        <f>13789.13-2832.56</f>
        <v>10956.57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</row>
    <row r="81" spans="1:54" s="13" customFormat="1" ht="15">
      <c r="A81" s="49" t="s">
        <v>310</v>
      </c>
      <c r="B81" s="50">
        <v>1</v>
      </c>
      <c r="C81" s="57" t="s">
        <v>279</v>
      </c>
      <c r="D81" s="63" t="s">
        <v>344</v>
      </c>
      <c r="E81" s="74" t="s">
        <v>254</v>
      </c>
      <c r="F81" s="85">
        <f>71600-500</f>
        <v>71100</v>
      </c>
      <c r="G81" s="85">
        <f>25060-175-35</f>
        <v>24850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</row>
    <row r="82" spans="1:54" s="13" customFormat="1" ht="15">
      <c r="A82" s="49" t="s">
        <v>310</v>
      </c>
      <c r="B82" s="50">
        <v>1</v>
      </c>
      <c r="C82" s="57" t="s">
        <v>280</v>
      </c>
      <c r="D82" s="63" t="s">
        <v>344</v>
      </c>
      <c r="E82" s="74" t="s">
        <v>254</v>
      </c>
      <c r="F82" s="85">
        <v>141650</v>
      </c>
      <c r="G82" s="85">
        <f>49577.5-525</f>
        <v>49052.5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</row>
    <row r="83" spans="1:54" s="13" customFormat="1" ht="75">
      <c r="A83" s="49" t="s">
        <v>310</v>
      </c>
      <c r="B83" s="50">
        <v>1</v>
      </c>
      <c r="C83" s="57" t="s">
        <v>281</v>
      </c>
      <c r="D83" s="63" t="s">
        <v>344</v>
      </c>
      <c r="E83" s="74" t="s">
        <v>254</v>
      </c>
      <c r="F83" s="85">
        <v>47340</v>
      </c>
      <c r="G83" s="85">
        <f t="shared" si="0"/>
        <v>16569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</row>
    <row r="84" spans="1:54" s="13" customFormat="1" ht="15">
      <c r="A84" s="49" t="s">
        <v>310</v>
      </c>
      <c r="B84" s="50">
        <v>1</v>
      </c>
      <c r="C84" s="57" t="s">
        <v>282</v>
      </c>
      <c r="D84" s="63" t="s">
        <v>344</v>
      </c>
      <c r="E84" s="74" t="s">
        <v>254</v>
      </c>
      <c r="F84" s="85">
        <v>45000</v>
      </c>
      <c r="G84" s="85">
        <f t="shared" si="0"/>
        <v>15750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</row>
    <row r="85" spans="1:54" s="13" customFormat="1" ht="30">
      <c r="A85" s="49" t="s">
        <v>310</v>
      </c>
      <c r="B85" s="50">
        <v>1</v>
      </c>
      <c r="C85" s="57" t="s">
        <v>283</v>
      </c>
      <c r="D85" s="63" t="s">
        <v>344</v>
      </c>
      <c r="E85" s="74" t="s">
        <v>254</v>
      </c>
      <c r="F85" s="85">
        <v>113600</v>
      </c>
      <c r="G85" s="85">
        <f t="shared" si="0"/>
        <v>39760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</row>
    <row r="86" spans="1:54" s="13" customFormat="1" ht="15">
      <c r="A86" s="49" t="s">
        <v>310</v>
      </c>
      <c r="B86" s="50">
        <v>1</v>
      </c>
      <c r="C86" s="57" t="s">
        <v>284</v>
      </c>
      <c r="D86" s="63" t="s">
        <v>344</v>
      </c>
      <c r="E86" s="74" t="s">
        <v>254</v>
      </c>
      <c r="F86" s="85">
        <v>49000</v>
      </c>
      <c r="G86" s="85">
        <f>17150-434.2</f>
        <v>16715.8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</row>
    <row r="87" spans="1:54" s="13" customFormat="1" ht="45">
      <c r="A87" s="49" t="s">
        <v>310</v>
      </c>
      <c r="B87" s="50">
        <v>1</v>
      </c>
      <c r="C87" s="57" t="s">
        <v>285</v>
      </c>
      <c r="D87" s="63" t="s">
        <v>344</v>
      </c>
      <c r="E87" s="74" t="s">
        <v>254</v>
      </c>
      <c r="F87" s="85">
        <v>76000</v>
      </c>
      <c r="G87" s="85">
        <f>26600-92.95</f>
        <v>26507.05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</row>
    <row r="88" spans="1:54" s="13" customFormat="1" ht="15">
      <c r="A88" s="49" t="s">
        <v>310</v>
      </c>
      <c r="B88" s="50">
        <v>1</v>
      </c>
      <c r="C88" s="57" t="s">
        <v>286</v>
      </c>
      <c r="D88" s="63" t="s">
        <v>344</v>
      </c>
      <c r="E88" s="74" t="s">
        <v>254</v>
      </c>
      <c r="F88" s="85">
        <f>171828.81-102828.81</f>
        <v>69000</v>
      </c>
      <c r="G88" s="85">
        <f t="shared" si="0"/>
        <v>24150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</row>
    <row r="89" spans="1:54" s="13" customFormat="1" ht="15">
      <c r="A89" s="49" t="s">
        <v>310</v>
      </c>
      <c r="B89" s="50">
        <v>1</v>
      </c>
      <c r="C89" s="57" t="s">
        <v>287</v>
      </c>
      <c r="D89" s="63" t="s">
        <v>344</v>
      </c>
      <c r="E89" s="74" t="s">
        <v>254</v>
      </c>
      <c r="F89" s="85">
        <v>242000</v>
      </c>
      <c r="G89" s="85">
        <f t="shared" si="0"/>
        <v>84700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</row>
    <row r="90" spans="1:54" s="13" customFormat="1" ht="15">
      <c r="A90" s="49" t="s">
        <v>310</v>
      </c>
      <c r="B90" s="50">
        <v>1</v>
      </c>
      <c r="C90" s="57" t="s">
        <v>288</v>
      </c>
      <c r="D90" s="63" t="s">
        <v>344</v>
      </c>
      <c r="E90" s="74" t="s">
        <v>254</v>
      </c>
      <c r="F90" s="85">
        <v>81050</v>
      </c>
      <c r="G90" s="85">
        <f t="shared" si="0"/>
        <v>28367.5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</row>
    <row r="91" spans="1:54" s="13" customFormat="1" ht="15">
      <c r="A91" s="49" t="s">
        <v>310</v>
      </c>
      <c r="B91" s="50">
        <v>1</v>
      </c>
      <c r="C91" s="57" t="s">
        <v>289</v>
      </c>
      <c r="D91" s="63" t="s">
        <v>344</v>
      </c>
      <c r="E91" s="74" t="s">
        <v>254</v>
      </c>
      <c r="F91" s="85">
        <f>114500-2450</f>
        <v>112050</v>
      </c>
      <c r="G91" s="85">
        <f>40075-857.5-542.5</f>
        <v>38675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</row>
    <row r="92" spans="1:54" s="13" customFormat="1" ht="15">
      <c r="A92" s="49" t="s">
        <v>310</v>
      </c>
      <c r="B92" s="50">
        <v>1</v>
      </c>
      <c r="C92" s="57" t="s">
        <v>7</v>
      </c>
      <c r="D92" s="63" t="s">
        <v>344</v>
      </c>
      <c r="E92" s="74" t="s">
        <v>254</v>
      </c>
      <c r="F92" s="85">
        <v>145000</v>
      </c>
      <c r="G92" s="85">
        <f t="shared" si="0"/>
        <v>50750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</row>
    <row r="93" spans="1:54" s="13" customFormat="1" ht="15">
      <c r="A93" s="49" t="s">
        <v>310</v>
      </c>
      <c r="B93" s="50">
        <v>1</v>
      </c>
      <c r="C93" s="57" t="s">
        <v>290</v>
      </c>
      <c r="D93" s="63" t="s">
        <v>344</v>
      </c>
      <c r="E93" s="74" t="s">
        <v>254</v>
      </c>
      <c r="F93" s="85">
        <v>39820</v>
      </c>
      <c r="G93" s="85">
        <f t="shared" si="0"/>
        <v>13937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</row>
    <row r="94" spans="1:54" s="13" customFormat="1" ht="15">
      <c r="A94" s="49" t="s">
        <v>310</v>
      </c>
      <c r="B94" s="50">
        <v>1</v>
      </c>
      <c r="C94" s="57" t="s">
        <v>291</v>
      </c>
      <c r="D94" s="63" t="s">
        <v>344</v>
      </c>
      <c r="E94" s="74" t="s">
        <v>254</v>
      </c>
      <c r="F94" s="85">
        <v>103950</v>
      </c>
      <c r="G94" s="85">
        <f t="shared" si="0"/>
        <v>36382.5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</row>
    <row r="95" spans="1:54" s="13" customFormat="1" ht="105">
      <c r="A95" s="49" t="s">
        <v>310</v>
      </c>
      <c r="B95" s="50">
        <v>1</v>
      </c>
      <c r="C95" s="57" t="s">
        <v>292</v>
      </c>
      <c r="D95" s="63" t="s">
        <v>344</v>
      </c>
      <c r="E95" s="74" t="s">
        <v>254</v>
      </c>
      <c r="F95" s="85">
        <v>169177.5</v>
      </c>
      <c r="G95" s="85">
        <f t="shared" si="0"/>
        <v>59212.125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</row>
    <row r="96" spans="1:54" s="13" customFormat="1" ht="30">
      <c r="A96" s="49" t="s">
        <v>310</v>
      </c>
      <c r="B96" s="50">
        <v>1</v>
      </c>
      <c r="C96" s="57" t="s">
        <v>293</v>
      </c>
      <c r="D96" s="63" t="s">
        <v>344</v>
      </c>
      <c r="E96" s="74" t="s">
        <v>254</v>
      </c>
      <c r="F96" s="85">
        <v>90000</v>
      </c>
      <c r="G96" s="85">
        <f t="shared" si="0"/>
        <v>31500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</row>
    <row r="97" spans="1:54" s="13" customFormat="1" ht="45">
      <c r="A97" s="49" t="s">
        <v>310</v>
      </c>
      <c r="B97" s="50">
        <v>1</v>
      </c>
      <c r="C97" s="57" t="s">
        <v>294</v>
      </c>
      <c r="D97" s="63" t="s">
        <v>344</v>
      </c>
      <c r="E97" s="74" t="s">
        <v>254</v>
      </c>
      <c r="F97" s="85">
        <v>74500</v>
      </c>
      <c r="G97" s="85">
        <f t="shared" si="0"/>
        <v>26075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</row>
    <row r="98" spans="1:54" s="13" customFormat="1" ht="16.5" customHeight="1">
      <c r="A98" s="49" t="s">
        <v>310</v>
      </c>
      <c r="B98" s="50">
        <v>1</v>
      </c>
      <c r="C98" s="57" t="s">
        <v>295</v>
      </c>
      <c r="D98" s="63" t="s">
        <v>344</v>
      </c>
      <c r="E98" s="74" t="s">
        <v>254</v>
      </c>
      <c r="F98" s="85">
        <v>163500</v>
      </c>
      <c r="G98" s="85">
        <f>57225-8190</f>
        <v>49035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</row>
    <row r="99" spans="1:54" s="13" customFormat="1" ht="15">
      <c r="A99" s="49" t="s">
        <v>310</v>
      </c>
      <c r="B99" s="50">
        <v>1</v>
      </c>
      <c r="C99" s="57" t="s">
        <v>296</v>
      </c>
      <c r="D99" s="63" t="s">
        <v>344</v>
      </c>
      <c r="E99" s="74" t="s">
        <v>254</v>
      </c>
      <c r="F99" s="85">
        <v>145000</v>
      </c>
      <c r="G99" s="85">
        <f t="shared" si="0"/>
        <v>50750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</row>
    <row r="100" spans="1:54" s="13" customFormat="1" ht="15">
      <c r="A100" s="49" t="s">
        <v>310</v>
      </c>
      <c r="B100" s="50">
        <v>1</v>
      </c>
      <c r="C100" s="57" t="s">
        <v>209</v>
      </c>
      <c r="D100" s="63" t="s">
        <v>344</v>
      </c>
      <c r="E100" s="74" t="s">
        <v>254</v>
      </c>
      <c r="F100" s="85">
        <v>249800</v>
      </c>
      <c r="G100" s="85">
        <f t="shared" si="0"/>
        <v>87430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</row>
    <row r="101" spans="1:54" s="13" customFormat="1" ht="51.75" customHeight="1">
      <c r="A101" s="49" t="s">
        <v>310</v>
      </c>
      <c r="B101" s="50">
        <v>1</v>
      </c>
      <c r="C101" s="57" t="s">
        <v>297</v>
      </c>
      <c r="D101" s="63" t="s">
        <v>344</v>
      </c>
      <c r="E101" s="74" t="s">
        <v>254</v>
      </c>
      <c r="F101" s="85">
        <v>34100</v>
      </c>
      <c r="G101" s="85">
        <f>11935-1610</f>
        <v>10325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</row>
    <row r="102" spans="1:54" s="13" customFormat="1" ht="60">
      <c r="A102" s="49" t="s">
        <v>310</v>
      </c>
      <c r="B102" s="50">
        <v>1</v>
      </c>
      <c r="C102" s="57" t="s">
        <v>298</v>
      </c>
      <c r="D102" s="63" t="s">
        <v>344</v>
      </c>
      <c r="E102" s="74" t="s">
        <v>254</v>
      </c>
      <c r="F102" s="85">
        <v>70500</v>
      </c>
      <c r="G102" s="85">
        <f>24675.5-70</f>
        <v>24605.5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</row>
    <row r="103" spans="1:54" s="13" customFormat="1" ht="45">
      <c r="A103" s="49" t="s">
        <v>310</v>
      </c>
      <c r="B103" s="50">
        <v>1</v>
      </c>
      <c r="C103" s="57" t="s">
        <v>299</v>
      </c>
      <c r="D103" s="63" t="s">
        <v>344</v>
      </c>
      <c r="E103" s="74" t="s">
        <v>254</v>
      </c>
      <c r="F103" s="85">
        <v>121000</v>
      </c>
      <c r="G103" s="85">
        <f t="shared" si="0"/>
        <v>42350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</row>
    <row r="104" spans="1:54" s="13" customFormat="1" ht="30">
      <c r="A104" s="49" t="s">
        <v>310</v>
      </c>
      <c r="B104" s="50">
        <v>1</v>
      </c>
      <c r="C104" s="57" t="s">
        <v>300</v>
      </c>
      <c r="D104" s="63" t="s">
        <v>344</v>
      </c>
      <c r="E104" s="74" t="s">
        <v>254</v>
      </c>
      <c r="F104" s="85">
        <v>47360</v>
      </c>
      <c r="G104" s="85">
        <f t="shared" si="0"/>
        <v>16576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</row>
    <row r="105" spans="1:54" s="13" customFormat="1" ht="20.25" customHeight="1">
      <c r="A105" s="49" t="s">
        <v>310</v>
      </c>
      <c r="B105" s="50">
        <v>1</v>
      </c>
      <c r="C105" s="57" t="s">
        <v>301</v>
      </c>
      <c r="D105" s="63" t="s">
        <v>344</v>
      </c>
      <c r="E105" s="74" t="s">
        <v>254</v>
      </c>
      <c r="F105" s="85">
        <v>24460</v>
      </c>
      <c r="G105" s="85">
        <f t="shared" si="0"/>
        <v>8561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</row>
    <row r="106" spans="1:54" s="13" customFormat="1" ht="45">
      <c r="A106" s="49" t="s">
        <v>310</v>
      </c>
      <c r="B106" s="50">
        <v>1</v>
      </c>
      <c r="C106" s="57" t="s">
        <v>302</v>
      </c>
      <c r="D106" s="63" t="s">
        <v>344</v>
      </c>
      <c r="E106" s="74" t="s">
        <v>254</v>
      </c>
      <c r="F106" s="85">
        <f>62000-17622.95</f>
        <v>44377.05</v>
      </c>
      <c r="G106" s="85">
        <f>21700-6168.03</f>
        <v>15531.970000000001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1:54" s="16" customFormat="1" ht="15" customHeight="1">
      <c r="A107" s="31"/>
      <c r="B107" s="31">
        <f>SUM(B6:B106)</f>
        <v>100</v>
      </c>
      <c r="C107" s="155" t="s">
        <v>273</v>
      </c>
      <c r="D107" s="156"/>
      <c r="E107" s="157"/>
      <c r="F107" s="86">
        <f>SUM(F6:F106)</f>
        <v>12750972.340000002</v>
      </c>
      <c r="G107" s="86">
        <f>SUM(G6:G106)</f>
        <v>4495612.620122139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</row>
    <row r="108" spans="1:7" ht="25.5" customHeight="1">
      <c r="A108" s="152" t="s">
        <v>96</v>
      </c>
      <c r="B108" s="150"/>
      <c r="C108" s="150"/>
      <c r="D108" s="150"/>
      <c r="E108" s="150"/>
      <c r="F108" s="150"/>
      <c r="G108" s="150"/>
    </row>
    <row r="109" spans="1:9" ht="30.75" customHeight="1">
      <c r="A109" s="88" t="s">
        <v>312</v>
      </c>
      <c r="B109" s="89">
        <v>1</v>
      </c>
      <c r="C109" s="91" t="s">
        <v>15</v>
      </c>
      <c r="D109" s="63" t="s">
        <v>344</v>
      </c>
      <c r="E109" s="92" t="s">
        <v>16</v>
      </c>
      <c r="F109" s="85">
        <v>28900</v>
      </c>
      <c r="G109" s="85">
        <f>23120-246.66</f>
        <v>22873.34</v>
      </c>
      <c r="I109" s="27"/>
    </row>
    <row r="110" spans="1:7" ht="35.25" customHeight="1">
      <c r="A110" s="88" t="s">
        <v>312</v>
      </c>
      <c r="B110" s="90">
        <v>1</v>
      </c>
      <c r="C110" s="91" t="s">
        <v>15</v>
      </c>
      <c r="D110" s="63" t="s">
        <v>344</v>
      </c>
      <c r="E110" s="92" t="s">
        <v>17</v>
      </c>
      <c r="F110" s="85">
        <v>30000</v>
      </c>
      <c r="G110" s="85">
        <v>24000</v>
      </c>
    </row>
    <row r="111" spans="1:7" ht="36.75" customHeight="1">
      <c r="A111" s="88" t="s">
        <v>312</v>
      </c>
      <c r="B111" s="90">
        <v>1</v>
      </c>
      <c r="C111" s="91" t="s">
        <v>15</v>
      </c>
      <c r="D111" s="63" t="s">
        <v>344</v>
      </c>
      <c r="E111" s="92" t="s">
        <v>18</v>
      </c>
      <c r="F111" s="85">
        <v>30000</v>
      </c>
      <c r="G111" s="85">
        <f>24000-26.24</f>
        <v>23973.76</v>
      </c>
    </row>
    <row r="112" spans="1:7" ht="36" customHeight="1">
      <c r="A112" s="88" t="s">
        <v>312</v>
      </c>
      <c r="B112" s="90">
        <v>1</v>
      </c>
      <c r="C112" s="91" t="s">
        <v>15</v>
      </c>
      <c r="D112" s="63" t="s">
        <v>344</v>
      </c>
      <c r="E112" s="92" t="s">
        <v>19</v>
      </c>
      <c r="F112" s="85">
        <v>30000</v>
      </c>
      <c r="G112" s="85">
        <v>24000</v>
      </c>
    </row>
    <row r="113" spans="1:7" ht="30.75" customHeight="1">
      <c r="A113" s="88" t="s">
        <v>312</v>
      </c>
      <c r="B113" s="90">
        <v>1</v>
      </c>
      <c r="C113" s="91" t="s">
        <v>15</v>
      </c>
      <c r="D113" s="63" t="s">
        <v>344</v>
      </c>
      <c r="E113" s="92" t="s">
        <v>20</v>
      </c>
      <c r="F113" s="85">
        <v>30000</v>
      </c>
      <c r="G113" s="85">
        <v>24000</v>
      </c>
    </row>
    <row r="114" spans="1:7" ht="35.25" customHeight="1">
      <c r="A114" s="88" t="s">
        <v>312</v>
      </c>
      <c r="B114" s="90">
        <v>1</v>
      </c>
      <c r="C114" s="93" t="s">
        <v>21</v>
      </c>
      <c r="D114" s="63" t="s">
        <v>344</v>
      </c>
      <c r="E114" s="94" t="s">
        <v>22</v>
      </c>
      <c r="F114" s="85">
        <v>50609.06</v>
      </c>
      <c r="G114" s="85">
        <f>20243.62-1730.54</f>
        <v>18513.079999999998</v>
      </c>
    </row>
    <row r="115" spans="1:7" ht="36" customHeight="1">
      <c r="A115" s="88" t="s">
        <v>312</v>
      </c>
      <c r="B115" s="90">
        <v>1</v>
      </c>
      <c r="C115" s="91" t="s">
        <v>23</v>
      </c>
      <c r="D115" s="63" t="s">
        <v>344</v>
      </c>
      <c r="E115" s="92" t="s">
        <v>24</v>
      </c>
      <c r="F115" s="85">
        <v>22938</v>
      </c>
      <c r="G115" s="85">
        <v>18350.4</v>
      </c>
    </row>
    <row r="116" spans="1:7" ht="30" customHeight="1">
      <c r="A116" s="88" t="s">
        <v>312</v>
      </c>
      <c r="B116" s="90">
        <v>1</v>
      </c>
      <c r="C116" s="91" t="s">
        <v>25</v>
      </c>
      <c r="D116" s="63" t="s">
        <v>344</v>
      </c>
      <c r="E116" s="92" t="s">
        <v>26</v>
      </c>
      <c r="F116" s="85">
        <v>24651.65</v>
      </c>
      <c r="G116" s="85">
        <v>9860.66</v>
      </c>
    </row>
    <row r="117" spans="1:7" ht="48.75" customHeight="1">
      <c r="A117" s="88" t="s">
        <v>312</v>
      </c>
      <c r="B117" s="90">
        <v>1</v>
      </c>
      <c r="C117" s="91" t="s">
        <v>27</v>
      </c>
      <c r="D117" s="63" t="s">
        <v>344</v>
      </c>
      <c r="E117" s="92" t="s">
        <v>28</v>
      </c>
      <c r="F117" s="85">
        <v>24626</v>
      </c>
      <c r="G117" s="85">
        <f>19700.8-332.76</f>
        <v>19368.04</v>
      </c>
    </row>
    <row r="118" spans="1:7" ht="33.75" customHeight="1">
      <c r="A118" s="88" t="s">
        <v>312</v>
      </c>
      <c r="B118" s="90">
        <v>1</v>
      </c>
      <c r="C118" s="91" t="s">
        <v>29</v>
      </c>
      <c r="D118" s="63" t="s">
        <v>344</v>
      </c>
      <c r="E118" s="92" t="s">
        <v>30</v>
      </c>
      <c r="F118" s="85">
        <v>25046.02</v>
      </c>
      <c r="G118" s="85">
        <f>10018.41-56.59</f>
        <v>9961.82</v>
      </c>
    </row>
    <row r="119" spans="1:9" ht="17.25" customHeight="1">
      <c r="A119" s="88" t="s">
        <v>313</v>
      </c>
      <c r="B119" s="43">
        <v>1</v>
      </c>
      <c r="C119" s="53" t="s">
        <v>117</v>
      </c>
      <c r="D119" s="63" t="s">
        <v>344</v>
      </c>
      <c r="E119" s="69" t="s">
        <v>126</v>
      </c>
      <c r="F119" s="85">
        <v>14990</v>
      </c>
      <c r="G119" s="85">
        <v>11992</v>
      </c>
      <c r="I119" s="27"/>
    </row>
    <row r="120" spans="1:7" ht="15.75" customHeight="1">
      <c r="A120" s="88" t="s">
        <v>313</v>
      </c>
      <c r="B120" s="43">
        <v>1</v>
      </c>
      <c r="C120" s="53" t="s">
        <v>118</v>
      </c>
      <c r="D120" s="63" t="s">
        <v>344</v>
      </c>
      <c r="E120" s="63" t="s">
        <v>127</v>
      </c>
      <c r="F120" s="85">
        <v>44187</v>
      </c>
      <c r="G120" s="85">
        <v>17674.8</v>
      </c>
    </row>
    <row r="121" spans="1:7" ht="14.25" customHeight="1">
      <c r="A121" s="88" t="s">
        <v>313</v>
      </c>
      <c r="B121" s="43">
        <v>1</v>
      </c>
      <c r="C121" s="53" t="s">
        <v>119</v>
      </c>
      <c r="D121" s="63" t="s">
        <v>344</v>
      </c>
      <c r="E121" s="63" t="s">
        <v>128</v>
      </c>
      <c r="F121" s="85">
        <v>44217.09</v>
      </c>
      <c r="G121" s="85">
        <v>17686.836</v>
      </c>
    </row>
    <row r="122" spans="1:7" ht="29.25" customHeight="1">
      <c r="A122" s="88" t="s">
        <v>313</v>
      </c>
      <c r="B122" s="43">
        <v>1</v>
      </c>
      <c r="C122" s="53" t="s">
        <v>120</v>
      </c>
      <c r="D122" s="63" t="s">
        <v>344</v>
      </c>
      <c r="E122" s="63" t="s">
        <v>129</v>
      </c>
      <c r="F122" s="85">
        <v>14320.179999999998</v>
      </c>
      <c r="G122" s="85">
        <f>5728.072-651.58</f>
        <v>5076.492</v>
      </c>
    </row>
    <row r="123" spans="1:7" ht="60">
      <c r="A123" s="88" t="s">
        <v>313</v>
      </c>
      <c r="B123" s="43">
        <v>1</v>
      </c>
      <c r="C123" s="55" t="s">
        <v>121</v>
      </c>
      <c r="D123" s="63" t="s">
        <v>344</v>
      </c>
      <c r="E123" s="63" t="s">
        <v>130</v>
      </c>
      <c r="F123" s="85">
        <v>49983</v>
      </c>
      <c r="G123" s="85">
        <v>39986.4</v>
      </c>
    </row>
    <row r="124" spans="1:7" ht="28.5" customHeight="1">
      <c r="A124" s="88" t="s">
        <v>313</v>
      </c>
      <c r="B124" s="43">
        <v>1</v>
      </c>
      <c r="C124" s="55" t="s">
        <v>121</v>
      </c>
      <c r="D124" s="63" t="s">
        <v>344</v>
      </c>
      <c r="E124" s="63" t="s">
        <v>131</v>
      </c>
      <c r="F124" s="85">
        <v>49960</v>
      </c>
      <c r="G124" s="85">
        <v>39968</v>
      </c>
    </row>
    <row r="125" spans="1:7" ht="14.25" customHeight="1">
      <c r="A125" s="88" t="s">
        <v>313</v>
      </c>
      <c r="B125" s="43">
        <v>1</v>
      </c>
      <c r="C125" s="55" t="s">
        <v>122</v>
      </c>
      <c r="D125" s="63" t="s">
        <v>344</v>
      </c>
      <c r="E125" s="63" t="s">
        <v>132</v>
      </c>
      <c r="F125" s="85">
        <v>32820</v>
      </c>
      <c r="G125" s="85">
        <v>13128</v>
      </c>
    </row>
    <row r="126" spans="1:7" ht="60">
      <c r="A126" s="88" t="s">
        <v>313</v>
      </c>
      <c r="B126" s="43">
        <v>1</v>
      </c>
      <c r="C126" s="55" t="s">
        <v>123</v>
      </c>
      <c r="D126" s="63" t="s">
        <v>344</v>
      </c>
      <c r="E126" s="63" t="s">
        <v>133</v>
      </c>
      <c r="F126" s="85">
        <v>50000</v>
      </c>
      <c r="G126" s="85">
        <v>40000</v>
      </c>
    </row>
    <row r="127" spans="1:7" ht="30.75" customHeight="1">
      <c r="A127" s="88" t="s">
        <v>313</v>
      </c>
      <c r="B127" s="43">
        <v>1</v>
      </c>
      <c r="C127" s="55" t="s">
        <v>124</v>
      </c>
      <c r="D127" s="63" t="s">
        <v>344</v>
      </c>
      <c r="E127" s="63" t="s">
        <v>134</v>
      </c>
      <c r="F127" s="85">
        <v>7458</v>
      </c>
      <c r="G127" s="85">
        <v>2983.2000000000003</v>
      </c>
    </row>
    <row r="128" spans="1:7" ht="18" customHeight="1">
      <c r="A128" s="88" t="s">
        <v>313</v>
      </c>
      <c r="B128" s="43">
        <v>1</v>
      </c>
      <c r="C128" s="55" t="s">
        <v>125</v>
      </c>
      <c r="D128" s="63" t="s">
        <v>344</v>
      </c>
      <c r="E128" s="63" t="s">
        <v>135</v>
      </c>
      <c r="F128" s="85">
        <v>100000</v>
      </c>
      <c r="G128" s="85">
        <v>40000</v>
      </c>
    </row>
    <row r="129" spans="1:7" ht="18" customHeight="1">
      <c r="A129" s="38"/>
      <c r="B129" s="38">
        <f>SUM(B109:B128)</f>
        <v>20</v>
      </c>
      <c r="C129" s="132" t="s">
        <v>136</v>
      </c>
      <c r="D129" s="133"/>
      <c r="E129" s="134"/>
      <c r="F129" s="95">
        <f>SUM(F109:F128)</f>
        <v>704706</v>
      </c>
      <c r="G129" s="95">
        <f>SUM(G109:G128)</f>
        <v>423396.82800000004</v>
      </c>
    </row>
    <row r="130" spans="1:7" ht="23.25" customHeight="1">
      <c r="A130" s="142" t="s">
        <v>31</v>
      </c>
      <c r="B130" s="142"/>
      <c r="C130" s="142"/>
      <c r="D130" s="142"/>
      <c r="E130" s="142"/>
      <c r="F130" s="142"/>
      <c r="G130" s="149"/>
    </row>
    <row r="131" spans="1:7" ht="29.25" customHeight="1">
      <c r="A131" s="152" t="s">
        <v>105</v>
      </c>
      <c r="B131" s="150"/>
      <c r="C131" s="150"/>
      <c r="D131" s="150"/>
      <c r="E131" s="150"/>
      <c r="F131" s="150"/>
      <c r="G131" s="151"/>
    </row>
    <row r="132" spans="1:7" ht="60">
      <c r="A132" s="96" t="s">
        <v>32</v>
      </c>
      <c r="B132" s="97">
        <v>1</v>
      </c>
      <c r="C132" s="98" t="s">
        <v>33</v>
      </c>
      <c r="D132" s="63" t="s">
        <v>344</v>
      </c>
      <c r="E132" s="99" t="s">
        <v>34</v>
      </c>
      <c r="F132" s="85">
        <v>14300</v>
      </c>
      <c r="G132" s="85">
        <v>10010</v>
      </c>
    </row>
    <row r="133" spans="1:7" ht="15">
      <c r="A133" s="96" t="s">
        <v>32</v>
      </c>
      <c r="B133" s="97">
        <v>1</v>
      </c>
      <c r="C133" s="100" t="s">
        <v>35</v>
      </c>
      <c r="D133" s="63" t="s">
        <v>344</v>
      </c>
      <c r="E133" s="101" t="s">
        <v>36</v>
      </c>
      <c r="F133" s="85">
        <v>28957.5</v>
      </c>
      <c r="G133" s="85">
        <f>'[2]Foglio1'!$H$12</f>
        <v>20270.25</v>
      </c>
    </row>
    <row r="134" spans="1:7" ht="45">
      <c r="A134" s="96" t="s">
        <v>32</v>
      </c>
      <c r="B134" s="97">
        <v>1</v>
      </c>
      <c r="C134" s="98" t="s">
        <v>37</v>
      </c>
      <c r="D134" s="63" t="s">
        <v>344</v>
      </c>
      <c r="E134" s="99" t="s">
        <v>38</v>
      </c>
      <c r="F134" s="85">
        <v>86814.04</v>
      </c>
      <c r="G134" s="85">
        <f>60769.82-4291.03</f>
        <v>56478.79</v>
      </c>
    </row>
    <row r="135" spans="1:7" ht="15">
      <c r="A135" s="96" t="s">
        <v>32</v>
      </c>
      <c r="B135" s="97">
        <v>1</v>
      </c>
      <c r="C135" s="98" t="s">
        <v>39</v>
      </c>
      <c r="D135" s="63" t="s">
        <v>344</v>
      </c>
      <c r="E135" s="99" t="s">
        <v>40</v>
      </c>
      <c r="F135" s="85">
        <v>13740</v>
      </c>
      <c r="G135" s="85">
        <f>'[3]Foglio1'!$H$12</f>
        <v>9618</v>
      </c>
    </row>
    <row r="136" spans="1:7" ht="30">
      <c r="A136" s="96" t="s">
        <v>32</v>
      </c>
      <c r="B136" s="97">
        <v>1</v>
      </c>
      <c r="C136" s="98" t="s">
        <v>41</v>
      </c>
      <c r="D136" s="63" t="s">
        <v>344</v>
      </c>
      <c r="E136" s="99" t="s">
        <v>42</v>
      </c>
      <c r="F136" s="85">
        <v>55942.28</v>
      </c>
      <c r="G136" s="85">
        <f>39159.6-165.21</f>
        <v>38994.39</v>
      </c>
    </row>
    <row r="137" spans="1:7" ht="30">
      <c r="A137" s="96" t="s">
        <v>32</v>
      </c>
      <c r="B137" s="97">
        <v>1</v>
      </c>
      <c r="C137" s="98" t="s">
        <v>41</v>
      </c>
      <c r="D137" s="63" t="s">
        <v>344</v>
      </c>
      <c r="E137" s="99" t="s">
        <v>43</v>
      </c>
      <c r="F137" s="85">
        <v>35800.79</v>
      </c>
      <c r="G137" s="85">
        <f>25060.55-683.91</f>
        <v>24376.64</v>
      </c>
    </row>
    <row r="138" spans="1:7" ht="15" customHeight="1">
      <c r="A138" s="33"/>
      <c r="B138" s="31">
        <f>SUM(B132:B137)</f>
        <v>6</v>
      </c>
      <c r="C138" s="155" t="s">
        <v>44</v>
      </c>
      <c r="D138" s="156"/>
      <c r="E138" s="157"/>
      <c r="F138" s="95">
        <f>SUM(F132:F137)</f>
        <v>235554.61</v>
      </c>
      <c r="G138" s="95">
        <f>SUM(G132:G137)</f>
        <v>159748.07</v>
      </c>
    </row>
    <row r="139" spans="1:7" ht="30.75" customHeight="1">
      <c r="A139" s="152" t="s">
        <v>140</v>
      </c>
      <c r="B139" s="150"/>
      <c r="C139" s="150"/>
      <c r="D139" s="150"/>
      <c r="E139" s="150"/>
      <c r="F139" s="150"/>
      <c r="G139" s="150"/>
    </row>
    <row r="140" spans="1:7" ht="60">
      <c r="A140" s="96" t="s">
        <v>314</v>
      </c>
      <c r="B140" s="97">
        <v>1</v>
      </c>
      <c r="C140" s="76" t="s">
        <v>141</v>
      </c>
      <c r="D140" s="63" t="s">
        <v>344</v>
      </c>
      <c r="E140" s="76" t="s">
        <v>144</v>
      </c>
      <c r="F140" s="102">
        <v>45822.08</v>
      </c>
      <c r="G140" s="102">
        <f aca="true" t="shared" si="1" ref="G140:G145">F140</f>
        <v>45822.08</v>
      </c>
    </row>
    <row r="141" spans="1:7" ht="45">
      <c r="A141" s="96" t="s">
        <v>314</v>
      </c>
      <c r="B141" s="97">
        <v>1</v>
      </c>
      <c r="C141" s="101" t="s">
        <v>141</v>
      </c>
      <c r="D141" s="63" t="s">
        <v>344</v>
      </c>
      <c r="E141" s="101" t="s">
        <v>145</v>
      </c>
      <c r="F141" s="102">
        <v>65649</v>
      </c>
      <c r="G141" s="102">
        <f t="shared" si="1"/>
        <v>65649</v>
      </c>
    </row>
    <row r="142" spans="1:7" ht="45">
      <c r="A142" s="96" t="s">
        <v>314</v>
      </c>
      <c r="B142" s="97">
        <v>1</v>
      </c>
      <c r="C142" s="76" t="s">
        <v>141</v>
      </c>
      <c r="D142" s="63" t="s">
        <v>344</v>
      </c>
      <c r="E142" s="76" t="s">
        <v>146</v>
      </c>
      <c r="F142" s="102">
        <v>26937.7</v>
      </c>
      <c r="G142" s="102">
        <f t="shared" si="1"/>
        <v>26937.7</v>
      </c>
    </row>
    <row r="143" spans="1:7" ht="30" hidden="1">
      <c r="A143" s="96" t="s">
        <v>314</v>
      </c>
      <c r="B143" s="97"/>
      <c r="C143" s="104" t="s">
        <v>142</v>
      </c>
      <c r="D143" s="63" t="s">
        <v>344</v>
      </c>
      <c r="E143" s="76" t="s">
        <v>147</v>
      </c>
      <c r="F143" s="102"/>
      <c r="G143" s="102"/>
    </row>
    <row r="144" spans="1:7" ht="60">
      <c r="A144" s="96" t="s">
        <v>314</v>
      </c>
      <c r="B144" s="97">
        <v>1</v>
      </c>
      <c r="C144" s="76" t="s">
        <v>143</v>
      </c>
      <c r="D144" s="63" t="s">
        <v>344</v>
      </c>
      <c r="E144" s="76" t="s">
        <v>148</v>
      </c>
      <c r="F144" s="102">
        <v>9057.72</v>
      </c>
      <c r="G144" s="102">
        <f t="shared" si="1"/>
        <v>9057.72</v>
      </c>
    </row>
    <row r="145" spans="1:7" ht="60">
      <c r="A145" s="96" t="s">
        <v>314</v>
      </c>
      <c r="B145" s="97">
        <v>1</v>
      </c>
      <c r="C145" s="76" t="s">
        <v>143</v>
      </c>
      <c r="D145" s="63" t="s">
        <v>344</v>
      </c>
      <c r="E145" s="76" t="s">
        <v>149</v>
      </c>
      <c r="F145" s="102">
        <v>8560.65</v>
      </c>
      <c r="G145" s="102">
        <f t="shared" si="1"/>
        <v>8560.65</v>
      </c>
    </row>
    <row r="146" spans="1:54" s="11" customFormat="1" ht="45">
      <c r="A146" s="96" t="s">
        <v>315</v>
      </c>
      <c r="B146" s="103">
        <v>1</v>
      </c>
      <c r="C146" s="54" t="s">
        <v>109</v>
      </c>
      <c r="D146" s="63" t="s">
        <v>344</v>
      </c>
      <c r="E146" s="69" t="s">
        <v>229</v>
      </c>
      <c r="F146" s="102">
        <f>'[4]Foglio1'!$F$11</f>
        <v>99930.19</v>
      </c>
      <c r="G146" s="102">
        <f>'[4]Foglio1'!$H$11</f>
        <v>99930.19</v>
      </c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</row>
    <row r="147" spans="1:54" s="11" customFormat="1" ht="45">
      <c r="A147" s="96" t="s">
        <v>315</v>
      </c>
      <c r="B147" s="103">
        <v>1</v>
      </c>
      <c r="C147" s="54" t="s">
        <v>109</v>
      </c>
      <c r="D147" s="63" t="s">
        <v>344</v>
      </c>
      <c r="E147" s="70" t="s">
        <v>230</v>
      </c>
      <c r="F147" s="102">
        <f>'[5]Foglio1'!$F$15</f>
        <v>124397.98</v>
      </c>
      <c r="G147" s="102">
        <f>'[5]Foglio1'!$H$15</f>
        <v>124397.98</v>
      </c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</row>
    <row r="148" spans="1:54" s="11" customFormat="1" ht="45">
      <c r="A148" s="96" t="s">
        <v>315</v>
      </c>
      <c r="B148" s="103">
        <v>1</v>
      </c>
      <c r="C148" s="54" t="s">
        <v>109</v>
      </c>
      <c r="D148" s="63" t="s">
        <v>344</v>
      </c>
      <c r="E148" s="69" t="s">
        <v>231</v>
      </c>
      <c r="F148" s="102">
        <f>'[6]Foglio1'!$F$12</f>
        <v>99516.64</v>
      </c>
      <c r="G148" s="102">
        <f>'[6]Foglio1'!$H$12</f>
        <v>99516.64</v>
      </c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</row>
    <row r="149" spans="1:54" s="11" customFormat="1" ht="45">
      <c r="A149" s="96" t="s">
        <v>315</v>
      </c>
      <c r="B149" s="103">
        <v>1</v>
      </c>
      <c r="C149" s="54" t="s">
        <v>109</v>
      </c>
      <c r="D149" s="63" t="s">
        <v>344</v>
      </c>
      <c r="E149" s="70" t="s">
        <v>232</v>
      </c>
      <c r="F149" s="102">
        <f>'[7]Foglio1'!$F$13</f>
        <v>89992.00000000001</v>
      </c>
      <c r="G149" s="102">
        <v>89992</v>
      </c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</row>
    <row r="150" spans="1:54" s="11" customFormat="1" ht="15" customHeight="1">
      <c r="A150" s="34"/>
      <c r="B150" s="35">
        <f>SUM(B140:B149)</f>
        <v>9</v>
      </c>
      <c r="C150" s="135" t="s">
        <v>316</v>
      </c>
      <c r="D150" s="136"/>
      <c r="E150" s="137"/>
      <c r="F150" s="87">
        <f>SUM(F140:F149)</f>
        <v>569863.9600000001</v>
      </c>
      <c r="G150" s="87">
        <f>SUM(G140:G149)</f>
        <v>569863.96</v>
      </c>
      <c r="H150" s="28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</row>
    <row r="151" spans="1:7" ht="24" customHeight="1">
      <c r="A151" s="152" t="s">
        <v>45</v>
      </c>
      <c r="B151" s="150"/>
      <c r="C151" s="150"/>
      <c r="D151" s="150"/>
      <c r="E151" s="150"/>
      <c r="F151" s="150"/>
      <c r="G151" s="150"/>
    </row>
    <row r="152" spans="1:7" ht="30" customHeight="1">
      <c r="A152" s="2" t="s">
        <v>46</v>
      </c>
      <c r="B152" s="32">
        <v>1</v>
      </c>
      <c r="C152" s="3" t="s">
        <v>303</v>
      </c>
      <c r="D152" s="64" t="s">
        <v>317</v>
      </c>
      <c r="E152" s="75" t="s">
        <v>48</v>
      </c>
      <c r="F152" s="102">
        <v>124759.1</v>
      </c>
      <c r="G152" s="102">
        <v>99807.28</v>
      </c>
    </row>
    <row r="153" spans="1:7" ht="30" customHeight="1">
      <c r="A153" s="2" t="s">
        <v>46</v>
      </c>
      <c r="B153" s="32">
        <v>1</v>
      </c>
      <c r="C153" s="3" t="s">
        <v>303</v>
      </c>
      <c r="D153" s="64" t="s">
        <v>317</v>
      </c>
      <c r="E153" s="75" t="s">
        <v>212</v>
      </c>
      <c r="F153" s="102">
        <f>125000-8690.55</f>
        <v>116309.45</v>
      </c>
      <c r="G153" s="102">
        <f>100000-6952.44</f>
        <v>93047.56</v>
      </c>
    </row>
    <row r="154" spans="1:7" ht="30" hidden="1">
      <c r="A154" s="2" t="s">
        <v>233</v>
      </c>
      <c r="B154" s="32"/>
      <c r="C154" s="12" t="s">
        <v>41</v>
      </c>
      <c r="D154" s="65"/>
      <c r="E154" s="78" t="s">
        <v>235</v>
      </c>
      <c r="F154" s="102"/>
      <c r="G154" s="102">
        <v>0</v>
      </c>
    </row>
    <row r="155" spans="1:7" ht="15">
      <c r="A155" s="2" t="s">
        <v>274</v>
      </c>
      <c r="B155" s="32">
        <v>1</v>
      </c>
      <c r="C155" s="23" t="s">
        <v>33</v>
      </c>
      <c r="D155" s="66" t="s">
        <v>318</v>
      </c>
      <c r="E155" s="78" t="s">
        <v>347</v>
      </c>
      <c r="F155" s="102">
        <f>30000-389.6</f>
        <v>29610.4</v>
      </c>
      <c r="G155" s="102">
        <f>24000-311.7</f>
        <v>23688.3</v>
      </c>
    </row>
    <row r="156" spans="1:7" ht="15">
      <c r="A156" s="2" t="s">
        <v>274</v>
      </c>
      <c r="B156" s="36">
        <v>1</v>
      </c>
      <c r="C156" s="23" t="s">
        <v>266</v>
      </c>
      <c r="D156" s="66" t="s">
        <v>318</v>
      </c>
      <c r="E156" s="77" t="s">
        <v>347</v>
      </c>
      <c r="F156" s="102">
        <v>40000</v>
      </c>
      <c r="G156" s="102">
        <v>32000</v>
      </c>
    </row>
    <row r="157" spans="1:7" ht="15">
      <c r="A157" s="2" t="s">
        <v>274</v>
      </c>
      <c r="B157" s="32">
        <v>1</v>
      </c>
      <c r="C157" s="23" t="s">
        <v>241</v>
      </c>
      <c r="D157" s="66" t="s">
        <v>318</v>
      </c>
      <c r="E157" s="78" t="s">
        <v>347</v>
      </c>
      <c r="F157" s="102">
        <v>28500</v>
      </c>
      <c r="G157" s="102">
        <v>22800</v>
      </c>
    </row>
    <row r="158" spans="1:7" ht="15">
      <c r="A158" s="33"/>
      <c r="B158" s="38">
        <f>SUM(B152:B157)</f>
        <v>5</v>
      </c>
      <c r="C158" s="129" t="s">
        <v>234</v>
      </c>
      <c r="D158" s="130"/>
      <c r="E158" s="131"/>
      <c r="F158" s="105">
        <f>SUM(F152:F157)</f>
        <v>339178.95</v>
      </c>
      <c r="G158" s="105">
        <f>SUM(G152:G157)</f>
        <v>271343.14</v>
      </c>
    </row>
    <row r="159" spans="1:7" ht="29.25" customHeight="1">
      <c r="A159" s="141" t="s">
        <v>49</v>
      </c>
      <c r="B159" s="142"/>
      <c r="C159" s="142"/>
      <c r="D159" s="142"/>
      <c r="E159" s="142"/>
      <c r="F159" s="142"/>
      <c r="G159" s="149"/>
    </row>
    <row r="160" spans="1:7" ht="17.25" customHeight="1">
      <c r="A160" s="152" t="s">
        <v>50</v>
      </c>
      <c r="B160" s="150"/>
      <c r="C160" s="150"/>
      <c r="D160" s="150"/>
      <c r="E160" s="150"/>
      <c r="F160" s="150"/>
      <c r="G160" s="150"/>
    </row>
    <row r="161" spans="1:7" ht="60">
      <c r="A161" s="106" t="s">
        <v>51</v>
      </c>
      <c r="B161" s="39">
        <v>1</v>
      </c>
      <c r="C161" s="76" t="s">
        <v>52</v>
      </c>
      <c r="D161" s="63" t="s">
        <v>344</v>
      </c>
      <c r="E161" s="99" t="s">
        <v>53</v>
      </c>
      <c r="F161" s="102">
        <v>197014.22</v>
      </c>
      <c r="G161" s="102">
        <f>39402.84+39402.85</f>
        <v>78805.69</v>
      </c>
    </row>
    <row r="162" spans="1:7" ht="30">
      <c r="A162" s="106" t="s">
        <v>51</v>
      </c>
      <c r="B162" s="39">
        <v>1</v>
      </c>
      <c r="C162" s="76" t="s">
        <v>54</v>
      </c>
      <c r="D162" s="63" t="s">
        <v>344</v>
      </c>
      <c r="E162" s="76" t="s">
        <v>55</v>
      </c>
      <c r="F162" s="102">
        <v>349426.32</v>
      </c>
      <c r="G162" s="102">
        <f>69885.26+69885.27</f>
        <v>139770.53</v>
      </c>
    </row>
    <row r="163" spans="1:7" ht="45">
      <c r="A163" s="106" t="s">
        <v>51</v>
      </c>
      <c r="B163" s="39">
        <v>1</v>
      </c>
      <c r="C163" s="76" t="s">
        <v>56</v>
      </c>
      <c r="D163" s="63" t="s">
        <v>344</v>
      </c>
      <c r="E163" s="99" t="s">
        <v>57</v>
      </c>
      <c r="F163" s="102">
        <v>166879.17</v>
      </c>
      <c r="G163" s="102">
        <v>66751.67</v>
      </c>
    </row>
    <row r="164" spans="1:7" ht="31.5" customHeight="1">
      <c r="A164" s="40"/>
      <c r="B164" s="38">
        <f>SUM(B161:B163)</f>
        <v>3</v>
      </c>
      <c r="C164" s="129" t="s">
        <v>58</v>
      </c>
      <c r="D164" s="130"/>
      <c r="E164" s="131"/>
      <c r="F164" s="105">
        <f>SUM(F161:F163)</f>
        <v>713319.7100000001</v>
      </c>
      <c r="G164" s="105">
        <f>SUM(G161:G163)</f>
        <v>285327.89</v>
      </c>
    </row>
    <row r="165" spans="1:9" ht="42.75" customHeight="1">
      <c r="A165" s="152" t="s">
        <v>59</v>
      </c>
      <c r="B165" s="150"/>
      <c r="C165" s="150"/>
      <c r="D165" s="150"/>
      <c r="E165" s="150"/>
      <c r="F165" s="150"/>
      <c r="G165" s="150"/>
      <c r="H165" s="15"/>
      <c r="I165" s="15"/>
    </row>
    <row r="166" spans="1:7" ht="44.25" customHeight="1">
      <c r="A166" s="106" t="s">
        <v>60</v>
      </c>
      <c r="B166" s="39">
        <v>1</v>
      </c>
      <c r="C166" s="107" t="s">
        <v>109</v>
      </c>
      <c r="D166" s="63" t="s">
        <v>344</v>
      </c>
      <c r="E166" s="99" t="s">
        <v>63</v>
      </c>
      <c r="F166" s="102">
        <v>90695</v>
      </c>
      <c r="G166" s="102">
        <v>63486.5</v>
      </c>
    </row>
    <row r="167" spans="1:7" ht="15" customHeight="1">
      <c r="A167" s="40"/>
      <c r="B167" s="38">
        <f>SUM(B166:B166)</f>
        <v>1</v>
      </c>
      <c r="C167" s="132" t="s">
        <v>64</v>
      </c>
      <c r="D167" s="133"/>
      <c r="E167" s="134"/>
      <c r="F167" s="105">
        <f>SUM(F166:F166)</f>
        <v>90695</v>
      </c>
      <c r="G167" s="105">
        <f>SUM(G166:G166)</f>
        <v>63486.5</v>
      </c>
    </row>
    <row r="168" spans="1:7" ht="39.75" customHeight="1">
      <c r="A168" s="152" t="s">
        <v>65</v>
      </c>
      <c r="B168" s="150"/>
      <c r="C168" s="150"/>
      <c r="D168" s="150"/>
      <c r="E168" s="150"/>
      <c r="F168" s="150"/>
      <c r="G168" s="150"/>
    </row>
    <row r="169" spans="1:7" ht="45">
      <c r="A169" s="108" t="s">
        <v>319</v>
      </c>
      <c r="B169" s="43">
        <v>1</v>
      </c>
      <c r="C169" s="111" t="s">
        <v>66</v>
      </c>
      <c r="D169" s="63" t="s">
        <v>344</v>
      </c>
      <c r="E169" s="111" t="s">
        <v>67</v>
      </c>
      <c r="F169" s="102">
        <v>142995.9</v>
      </c>
      <c r="G169" s="102">
        <v>97236.94</v>
      </c>
    </row>
    <row r="170" spans="1:7" ht="30.75" customHeight="1">
      <c r="A170" s="108" t="s">
        <v>319</v>
      </c>
      <c r="B170" s="90">
        <v>1</v>
      </c>
      <c r="C170" s="111" t="s">
        <v>68</v>
      </c>
      <c r="D170" s="63" t="s">
        <v>344</v>
      </c>
      <c r="E170" s="111" t="s">
        <v>69</v>
      </c>
      <c r="F170" s="102">
        <v>224465.63</v>
      </c>
      <c r="G170" s="102">
        <v>157125.94</v>
      </c>
    </row>
    <row r="171" spans="1:7" ht="28.5" customHeight="1">
      <c r="A171" s="108" t="s">
        <v>319</v>
      </c>
      <c r="B171" s="90">
        <v>1</v>
      </c>
      <c r="C171" s="111" t="s">
        <v>70</v>
      </c>
      <c r="D171" s="63" t="s">
        <v>344</v>
      </c>
      <c r="E171" s="111" t="s">
        <v>71</v>
      </c>
      <c r="F171" s="102">
        <v>255940.2</v>
      </c>
      <c r="G171" s="102">
        <v>179158.14</v>
      </c>
    </row>
    <row r="172" spans="1:7" ht="27.75" customHeight="1">
      <c r="A172" s="108" t="s">
        <v>319</v>
      </c>
      <c r="B172" s="90">
        <v>1</v>
      </c>
      <c r="C172" s="111" t="s">
        <v>72</v>
      </c>
      <c r="D172" s="63" t="s">
        <v>344</v>
      </c>
      <c r="E172" s="111" t="s">
        <v>73</v>
      </c>
      <c r="F172" s="102">
        <v>143493.86</v>
      </c>
      <c r="G172" s="102">
        <v>100445.7</v>
      </c>
    </row>
    <row r="173" spans="1:7" ht="44.25" customHeight="1">
      <c r="A173" s="108" t="s">
        <v>319</v>
      </c>
      <c r="B173" s="90">
        <v>1</v>
      </c>
      <c r="C173" s="111" t="s">
        <v>88</v>
      </c>
      <c r="D173" s="63" t="s">
        <v>344</v>
      </c>
      <c r="E173" s="111" t="s">
        <v>74</v>
      </c>
      <c r="F173" s="102">
        <v>246130.66</v>
      </c>
      <c r="G173" s="102">
        <v>172291.46</v>
      </c>
    </row>
    <row r="174" spans="1:7" ht="42.75" customHeight="1">
      <c r="A174" s="108" t="s">
        <v>319</v>
      </c>
      <c r="B174" s="90">
        <v>1</v>
      </c>
      <c r="C174" s="111" t="s">
        <v>75</v>
      </c>
      <c r="D174" s="63" t="s">
        <v>344</v>
      </c>
      <c r="E174" s="112" t="s">
        <v>76</v>
      </c>
      <c r="F174" s="102">
        <v>157011.67</v>
      </c>
      <c r="G174" s="102">
        <v>109908.17</v>
      </c>
    </row>
    <row r="175" spans="1:7" ht="30">
      <c r="A175" s="108" t="s">
        <v>319</v>
      </c>
      <c r="B175" s="90">
        <v>1</v>
      </c>
      <c r="C175" s="111" t="s">
        <v>77</v>
      </c>
      <c r="D175" s="63" t="s">
        <v>344</v>
      </c>
      <c r="E175" s="111" t="s">
        <v>78</v>
      </c>
      <c r="F175" s="102">
        <v>230608.42</v>
      </c>
      <c r="G175" s="102">
        <v>161425.89</v>
      </c>
    </row>
    <row r="176" spans="1:7" ht="60">
      <c r="A176" s="108" t="s">
        <v>319</v>
      </c>
      <c r="B176" s="90">
        <v>1</v>
      </c>
      <c r="C176" s="111" t="s">
        <v>79</v>
      </c>
      <c r="D176" s="63" t="s">
        <v>344</v>
      </c>
      <c r="E176" s="111" t="s">
        <v>80</v>
      </c>
      <c r="F176" s="102">
        <v>157767.97</v>
      </c>
      <c r="G176" s="102">
        <v>110437.58</v>
      </c>
    </row>
    <row r="177" spans="1:7" ht="60">
      <c r="A177" s="108" t="s">
        <v>319</v>
      </c>
      <c r="B177" s="90">
        <v>1</v>
      </c>
      <c r="C177" s="111" t="s">
        <v>79</v>
      </c>
      <c r="D177" s="63" t="s">
        <v>344</v>
      </c>
      <c r="E177" s="111" t="s">
        <v>81</v>
      </c>
      <c r="F177" s="102">
        <v>300000</v>
      </c>
      <c r="G177" s="102">
        <v>170901</v>
      </c>
    </row>
    <row r="178" spans="1:7" ht="75">
      <c r="A178" s="108" t="s">
        <v>320</v>
      </c>
      <c r="B178" s="110">
        <v>1</v>
      </c>
      <c r="C178" s="63" t="s">
        <v>137</v>
      </c>
      <c r="D178" s="63" t="s">
        <v>344</v>
      </c>
      <c r="E178" s="70" t="s">
        <v>138</v>
      </c>
      <c r="F178" s="102">
        <f>237600-6985.6</f>
        <v>230614.4</v>
      </c>
      <c r="G178" s="102">
        <f>166320-9779.84</f>
        <v>156540.16</v>
      </c>
    </row>
    <row r="179" spans="1:7" ht="60.75" customHeight="1">
      <c r="A179" s="108" t="s">
        <v>320</v>
      </c>
      <c r="B179" s="90">
        <v>1</v>
      </c>
      <c r="C179" s="63" t="s">
        <v>137</v>
      </c>
      <c r="D179" s="63" t="s">
        <v>344</v>
      </c>
      <c r="E179" s="107" t="s">
        <v>139</v>
      </c>
      <c r="F179" s="102">
        <f>290400-13695.54</f>
        <v>276704.46</v>
      </c>
      <c r="G179" s="102">
        <f>203280-16859.84</f>
        <v>186420.16</v>
      </c>
    </row>
    <row r="180" spans="1:7" ht="30">
      <c r="A180" s="108" t="s">
        <v>320</v>
      </c>
      <c r="B180" s="90">
        <v>1</v>
      </c>
      <c r="C180" s="111" t="s">
        <v>68</v>
      </c>
      <c r="D180" s="63" t="s">
        <v>344</v>
      </c>
      <c r="E180" s="111" t="s">
        <v>151</v>
      </c>
      <c r="F180" s="102">
        <f>253197.28-5485.22</f>
        <v>247712.06</v>
      </c>
      <c r="G180" s="102">
        <f>177238.1-3839.66</f>
        <v>173398.44</v>
      </c>
    </row>
    <row r="181" spans="1:7" ht="51" customHeight="1" hidden="1">
      <c r="A181" s="108" t="s">
        <v>320</v>
      </c>
      <c r="B181" s="90"/>
      <c r="C181" s="113" t="s">
        <v>79</v>
      </c>
      <c r="D181" s="63" t="s">
        <v>344</v>
      </c>
      <c r="E181" s="111" t="s">
        <v>152</v>
      </c>
      <c r="F181" s="102"/>
      <c r="G181" s="102">
        <f>41988.85-41988.85</f>
        <v>0</v>
      </c>
    </row>
    <row r="182" spans="1:7" ht="30">
      <c r="A182" s="108" t="s">
        <v>320</v>
      </c>
      <c r="B182" s="90">
        <v>1</v>
      </c>
      <c r="C182" s="111" t="s">
        <v>86</v>
      </c>
      <c r="D182" s="63" t="s">
        <v>344</v>
      </c>
      <c r="E182" s="111" t="s">
        <v>153</v>
      </c>
      <c r="F182" s="102">
        <v>71793.63</v>
      </c>
      <c r="G182" s="102">
        <v>48967.12</v>
      </c>
    </row>
    <row r="183" spans="1:7" ht="15" customHeight="1">
      <c r="A183" s="40"/>
      <c r="B183" s="41">
        <f>SUM(B169:B182)</f>
        <v>13</v>
      </c>
      <c r="C183" s="135" t="s">
        <v>82</v>
      </c>
      <c r="D183" s="136"/>
      <c r="E183" s="137"/>
      <c r="F183" s="105">
        <f>SUM(F169:F182)</f>
        <v>2685238.86</v>
      </c>
      <c r="G183" s="105">
        <f>SUM(G169:G182)</f>
        <v>1824256.7</v>
      </c>
    </row>
    <row r="184" spans="1:7" ht="20.25" customHeight="1">
      <c r="A184" s="152" t="s">
        <v>14</v>
      </c>
      <c r="B184" s="150"/>
      <c r="C184" s="150"/>
      <c r="D184" s="150"/>
      <c r="E184" s="150"/>
      <c r="F184" s="150"/>
      <c r="G184" s="150"/>
    </row>
    <row r="185" spans="1:54" s="4" customFormat="1" ht="165">
      <c r="A185" s="116" t="s">
        <v>321</v>
      </c>
      <c r="B185" s="39">
        <v>1</v>
      </c>
      <c r="C185" s="114" t="s">
        <v>215</v>
      </c>
      <c r="D185" s="63" t="s">
        <v>344</v>
      </c>
      <c r="E185" s="69" t="s">
        <v>221</v>
      </c>
      <c r="F185" s="102">
        <f>81437.763-2057.8</f>
        <v>79379.963</v>
      </c>
      <c r="G185" s="102">
        <f>32575.1052-823.13</f>
        <v>31751.9752</v>
      </c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</row>
    <row r="186" spans="1:54" s="4" customFormat="1" ht="120">
      <c r="A186" s="116" t="s">
        <v>321</v>
      </c>
      <c r="B186" s="39">
        <v>1</v>
      </c>
      <c r="C186" s="114" t="s">
        <v>216</v>
      </c>
      <c r="D186" s="63" t="s">
        <v>344</v>
      </c>
      <c r="E186" s="69" t="s">
        <v>222</v>
      </c>
      <c r="F186" s="102">
        <v>14578</v>
      </c>
      <c r="G186" s="102">
        <f>5831.2-1062.4</f>
        <v>4768.799999999999</v>
      </c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</row>
    <row r="187" spans="1:54" s="4" customFormat="1" ht="90">
      <c r="A187" s="116" t="s">
        <v>321</v>
      </c>
      <c r="B187" s="39">
        <v>1</v>
      </c>
      <c r="C187" s="114" t="s">
        <v>217</v>
      </c>
      <c r="D187" s="63" t="s">
        <v>344</v>
      </c>
      <c r="E187" s="69" t="s">
        <v>223</v>
      </c>
      <c r="F187" s="102">
        <v>65669.5</v>
      </c>
      <c r="G187" s="102">
        <v>26267.8</v>
      </c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</row>
    <row r="188" spans="1:54" s="4" customFormat="1" ht="135">
      <c r="A188" s="116" t="s">
        <v>321</v>
      </c>
      <c r="B188" s="39">
        <v>1</v>
      </c>
      <c r="C188" s="114" t="s">
        <v>218</v>
      </c>
      <c r="D188" s="63" t="s">
        <v>344</v>
      </c>
      <c r="E188" s="69" t="s">
        <v>348</v>
      </c>
      <c r="F188" s="102">
        <v>196720</v>
      </c>
      <c r="G188" s="102">
        <v>78688</v>
      </c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</row>
    <row r="189" spans="1:54" s="4" customFormat="1" ht="76.5" customHeight="1" hidden="1">
      <c r="A189" s="116" t="s">
        <v>321</v>
      </c>
      <c r="B189" s="39"/>
      <c r="C189" s="114" t="s">
        <v>252</v>
      </c>
      <c r="D189" s="63" t="s">
        <v>344</v>
      </c>
      <c r="E189" s="69" t="s">
        <v>224</v>
      </c>
      <c r="F189" s="102"/>
      <c r="G189" s="102">
        <f>26180.04-26180.04</f>
        <v>0</v>
      </c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</row>
    <row r="190" spans="1:7" ht="105">
      <c r="A190" s="116" t="s">
        <v>321</v>
      </c>
      <c r="B190" s="97">
        <v>1</v>
      </c>
      <c r="C190" s="115" t="s">
        <v>219</v>
      </c>
      <c r="D190" s="63" t="s">
        <v>344</v>
      </c>
      <c r="E190" s="70" t="s">
        <v>225</v>
      </c>
      <c r="F190" s="102">
        <f>14918.2-540.2</f>
        <v>14378</v>
      </c>
      <c r="G190" s="102">
        <f>5967.37-216.17</f>
        <v>5751.2</v>
      </c>
    </row>
    <row r="191" spans="1:7" ht="90">
      <c r="A191" s="116" t="s">
        <v>321</v>
      </c>
      <c r="B191" s="97">
        <v>1</v>
      </c>
      <c r="C191" s="115" t="s">
        <v>220</v>
      </c>
      <c r="D191" s="63" t="s">
        <v>344</v>
      </c>
      <c r="E191" s="70" t="s">
        <v>226</v>
      </c>
      <c r="F191" s="102">
        <v>191237.07</v>
      </c>
      <c r="G191" s="102">
        <f>76494.828-6307.49</f>
        <v>70187.33799999999</v>
      </c>
    </row>
    <row r="192" spans="1:7" ht="15" customHeight="1">
      <c r="A192" s="117"/>
      <c r="B192" s="118">
        <f>SUM(B185:B191)</f>
        <v>6</v>
      </c>
      <c r="C192" s="162" t="s">
        <v>227</v>
      </c>
      <c r="D192" s="163"/>
      <c r="E192" s="164"/>
      <c r="F192" s="105">
        <f>SUM(F185:F191)</f>
        <v>561962.533</v>
      </c>
      <c r="G192" s="105">
        <f>SUM(G185:G191)</f>
        <v>217415.11320000002</v>
      </c>
    </row>
    <row r="193" spans="1:7" ht="35.25" customHeight="1">
      <c r="A193" s="88" t="s">
        <v>322</v>
      </c>
      <c r="B193" s="43">
        <v>1</v>
      </c>
      <c r="C193" s="114" t="s">
        <v>106</v>
      </c>
      <c r="D193" s="63" t="s">
        <v>344</v>
      </c>
      <c r="E193" s="69" t="s">
        <v>110</v>
      </c>
      <c r="F193" s="102">
        <v>116454.15</v>
      </c>
      <c r="G193" s="102">
        <f>93163.32-18765.3</f>
        <v>74398.02</v>
      </c>
    </row>
    <row r="194" spans="1:7" ht="37.5" customHeight="1">
      <c r="A194" s="88" t="s">
        <v>322</v>
      </c>
      <c r="B194" s="43">
        <v>1</v>
      </c>
      <c r="C194" s="114" t="s">
        <v>106</v>
      </c>
      <c r="D194" s="63" t="s">
        <v>344</v>
      </c>
      <c r="E194" s="69" t="s">
        <v>111</v>
      </c>
      <c r="F194" s="102">
        <v>115369.04</v>
      </c>
      <c r="G194" s="102">
        <f>92295.232-14301.97</f>
        <v>77993.262</v>
      </c>
    </row>
    <row r="195" spans="1:7" ht="45">
      <c r="A195" s="88" t="s">
        <v>322</v>
      </c>
      <c r="B195" s="90">
        <v>1</v>
      </c>
      <c r="C195" s="56" t="s">
        <v>107</v>
      </c>
      <c r="D195" s="63" t="s">
        <v>344</v>
      </c>
      <c r="E195" s="63" t="s">
        <v>112</v>
      </c>
      <c r="F195" s="102">
        <v>108616.52</v>
      </c>
      <c r="G195" s="102">
        <f>86893.216-167.31</f>
        <v>86725.906</v>
      </c>
    </row>
    <row r="196" spans="1:54" s="4" customFormat="1" ht="45">
      <c r="A196" s="88" t="s">
        <v>322</v>
      </c>
      <c r="B196" s="43">
        <v>1</v>
      </c>
      <c r="C196" s="114" t="s">
        <v>108</v>
      </c>
      <c r="D196" s="63" t="s">
        <v>344</v>
      </c>
      <c r="E196" s="69" t="s">
        <v>113</v>
      </c>
      <c r="F196" s="102">
        <v>99778</v>
      </c>
      <c r="G196" s="102">
        <v>70784.19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</row>
    <row r="197" spans="1:54" s="4" customFormat="1" ht="90">
      <c r="A197" s="88" t="s">
        <v>322</v>
      </c>
      <c r="B197" s="43">
        <v>1</v>
      </c>
      <c r="C197" s="56" t="s">
        <v>109</v>
      </c>
      <c r="D197" s="63" t="s">
        <v>344</v>
      </c>
      <c r="E197" s="63" t="s">
        <v>114</v>
      </c>
      <c r="F197" s="102">
        <v>119900</v>
      </c>
      <c r="G197" s="102">
        <v>86657.54</v>
      </c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</row>
    <row r="198" spans="1:7" ht="15">
      <c r="A198" s="88" t="s">
        <v>323</v>
      </c>
      <c r="B198" s="90">
        <v>1</v>
      </c>
      <c r="C198" s="115" t="s">
        <v>236</v>
      </c>
      <c r="D198" s="63" t="s">
        <v>344</v>
      </c>
      <c r="E198" s="70" t="s">
        <v>237</v>
      </c>
      <c r="F198" s="102">
        <f>'[8]Spese'!$F$13-14555.62</f>
        <v>77855.974</v>
      </c>
      <c r="G198" s="102">
        <f>'[8]Spese'!$H$13-11644.5</f>
        <v>62284.775200000004</v>
      </c>
    </row>
    <row r="199" spans="1:7" ht="45">
      <c r="A199" s="88" t="s">
        <v>323</v>
      </c>
      <c r="B199" s="90">
        <v>1</v>
      </c>
      <c r="C199" s="115" t="s">
        <v>109</v>
      </c>
      <c r="D199" s="63" t="s">
        <v>344</v>
      </c>
      <c r="E199" s="69" t="s">
        <v>238</v>
      </c>
      <c r="F199" s="102">
        <f>'[9]Spese'!$F$12-6264.37</f>
        <v>39836.11000000001</v>
      </c>
      <c r="G199" s="102">
        <f>'[9]Spese'!$H$12-5011.49</f>
        <v>31868.894000000015</v>
      </c>
    </row>
    <row r="200" spans="1:7" ht="54.75" customHeight="1">
      <c r="A200" s="88" t="s">
        <v>323</v>
      </c>
      <c r="B200" s="90">
        <v>1</v>
      </c>
      <c r="C200" s="115" t="s">
        <v>239</v>
      </c>
      <c r="D200" s="63" t="s">
        <v>344</v>
      </c>
      <c r="E200" s="69" t="s">
        <v>240</v>
      </c>
      <c r="F200" s="102">
        <f>'[10]Spese'!$F$10</f>
        <v>118799.89000000001</v>
      </c>
      <c r="G200" s="102">
        <f>95039.91-15075.01</f>
        <v>79964.90000000001</v>
      </c>
    </row>
    <row r="201" spans="1:7" ht="30">
      <c r="A201" s="88" t="s">
        <v>323</v>
      </c>
      <c r="B201" s="90">
        <v>1</v>
      </c>
      <c r="C201" s="115" t="s">
        <v>141</v>
      </c>
      <c r="D201" s="63" t="s">
        <v>344</v>
      </c>
      <c r="E201" s="70" t="s">
        <v>242</v>
      </c>
      <c r="F201" s="102">
        <v>87416.37</v>
      </c>
      <c r="G201" s="102">
        <v>69933.1</v>
      </c>
    </row>
    <row r="202" spans="1:7" ht="45">
      <c r="A202" s="88" t="s">
        <v>323</v>
      </c>
      <c r="B202" s="90">
        <v>1</v>
      </c>
      <c r="C202" s="114" t="s">
        <v>243</v>
      </c>
      <c r="D202" s="63" t="s">
        <v>344</v>
      </c>
      <c r="E202" s="69" t="s">
        <v>244</v>
      </c>
      <c r="F202" s="102">
        <f>'[11]Spese'!$F$11</f>
        <v>120000</v>
      </c>
      <c r="G202" s="102">
        <f>'[11]Spese'!$H$11</f>
        <v>96000</v>
      </c>
    </row>
    <row r="203" spans="1:7" ht="30">
      <c r="A203" s="88" t="s">
        <v>323</v>
      </c>
      <c r="B203" s="90">
        <v>1</v>
      </c>
      <c r="C203" s="114" t="s">
        <v>141</v>
      </c>
      <c r="D203" s="63" t="s">
        <v>344</v>
      </c>
      <c r="E203" s="69" t="s">
        <v>245</v>
      </c>
      <c r="F203" s="102">
        <v>84795.12</v>
      </c>
      <c r="G203" s="102">
        <v>67836.1</v>
      </c>
    </row>
    <row r="204" spans="1:7" ht="33.75" customHeight="1">
      <c r="A204" s="88" t="s">
        <v>323</v>
      </c>
      <c r="B204" s="90">
        <v>1</v>
      </c>
      <c r="C204" s="114" t="s">
        <v>141</v>
      </c>
      <c r="D204" s="63" t="s">
        <v>344</v>
      </c>
      <c r="E204" s="69" t="s">
        <v>246</v>
      </c>
      <c r="F204" s="102">
        <v>84270.18</v>
      </c>
      <c r="G204" s="102">
        <v>67416.14</v>
      </c>
    </row>
    <row r="205" spans="1:7" ht="75">
      <c r="A205" s="88" t="s">
        <v>323</v>
      </c>
      <c r="B205" s="43">
        <v>1</v>
      </c>
      <c r="C205" s="114" t="s">
        <v>247</v>
      </c>
      <c r="D205" s="63" t="s">
        <v>344</v>
      </c>
      <c r="E205" s="69" t="s">
        <v>248</v>
      </c>
      <c r="F205" s="102">
        <f>87322.059-25843.35</f>
        <v>61478.708999999995</v>
      </c>
      <c r="G205" s="102">
        <f>15161.08+39099+15597.57-31676.21</f>
        <v>38181.439999999995</v>
      </c>
    </row>
    <row r="206" spans="1:7" ht="75">
      <c r="A206" s="88" t="s">
        <v>323</v>
      </c>
      <c r="B206" s="44">
        <v>1</v>
      </c>
      <c r="C206" s="114" t="s">
        <v>249</v>
      </c>
      <c r="D206" s="63" t="s">
        <v>344</v>
      </c>
      <c r="E206" s="69" t="s">
        <v>250</v>
      </c>
      <c r="F206" s="102">
        <v>45000</v>
      </c>
      <c r="G206" s="102">
        <v>36000</v>
      </c>
    </row>
    <row r="207" spans="1:7" ht="45">
      <c r="A207" s="88" t="s">
        <v>323</v>
      </c>
      <c r="B207" s="44">
        <v>1</v>
      </c>
      <c r="C207" s="114" t="s">
        <v>243</v>
      </c>
      <c r="D207" s="63" t="s">
        <v>344</v>
      </c>
      <c r="E207" s="69" t="s">
        <v>251</v>
      </c>
      <c r="F207" s="102">
        <v>54120.09899999999</v>
      </c>
      <c r="G207" s="102">
        <f>43296.08</f>
        <v>43296.08</v>
      </c>
    </row>
    <row r="208" spans="1:54" s="10" customFormat="1" ht="60">
      <c r="A208" s="88" t="s">
        <v>324</v>
      </c>
      <c r="B208" s="51">
        <v>1</v>
      </c>
      <c r="C208" s="114" t="s">
        <v>266</v>
      </c>
      <c r="D208" s="63" t="s">
        <v>344</v>
      </c>
      <c r="E208" s="69" t="s">
        <v>267</v>
      </c>
      <c r="F208" s="102">
        <v>68750</v>
      </c>
      <c r="G208" s="102">
        <v>68750</v>
      </c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</row>
    <row r="209" spans="1:54" s="10" customFormat="1" ht="45">
      <c r="A209" s="88" t="s">
        <v>324</v>
      </c>
      <c r="B209" s="51">
        <v>1</v>
      </c>
      <c r="C209" s="114" t="s">
        <v>268</v>
      </c>
      <c r="D209" s="63" t="s">
        <v>344</v>
      </c>
      <c r="E209" s="69" t="s">
        <v>275</v>
      </c>
      <c r="F209" s="102">
        <v>61984.35</v>
      </c>
      <c r="G209" s="102">
        <f>69913.99-7929.64</f>
        <v>61984.350000000006</v>
      </c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</row>
    <row r="210" spans="1:54" s="10" customFormat="1" ht="44.25" customHeight="1">
      <c r="A210" s="88" t="s">
        <v>324</v>
      </c>
      <c r="B210" s="51">
        <v>1</v>
      </c>
      <c r="C210" s="114" t="s">
        <v>33</v>
      </c>
      <c r="D210" s="63" t="s">
        <v>344</v>
      </c>
      <c r="E210" s="69" t="s">
        <v>269</v>
      </c>
      <c r="F210" s="102">
        <f>116496.875-22854.9</f>
        <v>93641.975</v>
      </c>
      <c r="G210" s="102">
        <f>116496.875-22854.9</f>
        <v>93641.975</v>
      </c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</row>
    <row r="211" spans="1:54" s="10" customFormat="1" ht="60" customHeight="1">
      <c r="A211" s="88" t="s">
        <v>324</v>
      </c>
      <c r="B211" s="51">
        <v>1</v>
      </c>
      <c r="C211" s="114" t="s">
        <v>241</v>
      </c>
      <c r="D211" s="63" t="s">
        <v>344</v>
      </c>
      <c r="E211" s="69" t="s">
        <v>270</v>
      </c>
      <c r="F211" s="102">
        <f>64347.46-5394.59</f>
        <v>58952.869999999995</v>
      </c>
      <c r="G211" s="102">
        <f>64347.46-5394.59</f>
        <v>58952.869999999995</v>
      </c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</row>
    <row r="212" spans="1:54" s="10" customFormat="1" ht="90">
      <c r="A212" s="88" t="s">
        <v>324</v>
      </c>
      <c r="B212" s="51">
        <v>1</v>
      </c>
      <c r="C212" s="114" t="s">
        <v>243</v>
      </c>
      <c r="D212" s="63" t="s">
        <v>344</v>
      </c>
      <c r="E212" s="69" t="s">
        <v>305</v>
      </c>
      <c r="F212" s="102">
        <f>119999.996557377-4585.2</f>
        <v>115414.796557377</v>
      </c>
      <c r="G212" s="102">
        <f>119999.996557377-4585.2</f>
        <v>115414.796557377</v>
      </c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</row>
    <row r="213" spans="1:54" s="10" customFormat="1" ht="36" customHeight="1">
      <c r="A213" s="88" t="s">
        <v>324</v>
      </c>
      <c r="B213" s="51">
        <v>1</v>
      </c>
      <c r="C213" s="114" t="s">
        <v>35</v>
      </c>
      <c r="D213" s="63" t="s">
        <v>344</v>
      </c>
      <c r="E213" s="69" t="s">
        <v>271</v>
      </c>
      <c r="F213" s="102">
        <f>75000-3035</f>
        <v>71965</v>
      </c>
      <c r="G213" s="102">
        <f>75000-3035</f>
        <v>71965</v>
      </c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</row>
    <row r="214" spans="1:10" ht="30" customHeight="1">
      <c r="A214" s="42"/>
      <c r="B214" s="45">
        <f>SUM(B193:B213)</f>
        <v>21</v>
      </c>
      <c r="C214" s="138" t="s">
        <v>325</v>
      </c>
      <c r="D214" s="139"/>
      <c r="E214" s="140"/>
      <c r="F214" s="81">
        <f>SUM(F193:F213)</f>
        <v>1804399.1535573774</v>
      </c>
      <c r="G214" s="81">
        <f>SUM(G193:G213)</f>
        <v>1460049.3387573771</v>
      </c>
      <c r="I214" s="24"/>
      <c r="J214" s="24"/>
    </row>
    <row r="215" spans="1:7" ht="45">
      <c r="A215" s="88" t="s">
        <v>326</v>
      </c>
      <c r="B215" s="122">
        <v>1</v>
      </c>
      <c r="C215" s="111" t="s">
        <v>61</v>
      </c>
      <c r="D215" s="111" t="s">
        <v>318</v>
      </c>
      <c r="E215" s="119" t="s">
        <v>330</v>
      </c>
      <c r="F215" s="102">
        <v>25500</v>
      </c>
      <c r="G215" s="102">
        <v>20400</v>
      </c>
    </row>
    <row r="216" spans="1:7" ht="30">
      <c r="A216" s="88" t="s">
        <v>326</v>
      </c>
      <c r="B216" s="122">
        <v>1</v>
      </c>
      <c r="C216" s="111" t="s">
        <v>66</v>
      </c>
      <c r="D216" s="111" t="s">
        <v>318</v>
      </c>
      <c r="E216" s="119" t="s">
        <v>331</v>
      </c>
      <c r="F216" s="102">
        <v>25930.12</v>
      </c>
      <c r="G216" s="102">
        <v>20744.1</v>
      </c>
    </row>
    <row r="217" spans="1:7" ht="30">
      <c r="A217" s="88" t="s">
        <v>326</v>
      </c>
      <c r="B217" s="122">
        <v>1</v>
      </c>
      <c r="C217" s="111" t="s">
        <v>85</v>
      </c>
      <c r="D217" s="111" t="s">
        <v>318</v>
      </c>
      <c r="E217" s="119" t="s">
        <v>332</v>
      </c>
      <c r="F217" s="102">
        <f>45000-99.17</f>
        <v>44900.83</v>
      </c>
      <c r="G217" s="102">
        <f>36000-79.34</f>
        <v>35920.66</v>
      </c>
    </row>
    <row r="218" spans="1:7" ht="60">
      <c r="A218" s="88" t="s">
        <v>326</v>
      </c>
      <c r="B218" s="122">
        <v>1</v>
      </c>
      <c r="C218" s="111" t="s">
        <v>68</v>
      </c>
      <c r="D218" s="111" t="s">
        <v>318</v>
      </c>
      <c r="E218" s="119" t="s">
        <v>333</v>
      </c>
      <c r="F218" s="102">
        <f>64500-32.72</f>
        <v>64467.28</v>
      </c>
      <c r="G218" s="102">
        <f>51600-26.18</f>
        <v>51573.82</v>
      </c>
    </row>
    <row r="219" spans="1:7" ht="60">
      <c r="A219" s="88" t="s">
        <v>326</v>
      </c>
      <c r="B219" s="122">
        <v>1</v>
      </c>
      <c r="C219" s="111" t="s">
        <v>68</v>
      </c>
      <c r="D219" s="111" t="s">
        <v>318</v>
      </c>
      <c r="E219" s="119" t="s">
        <v>349</v>
      </c>
      <c r="F219" s="102">
        <f>55750-4612.05</f>
        <v>51137.95</v>
      </c>
      <c r="G219" s="102">
        <f>44600-3689.64</f>
        <v>40910.36</v>
      </c>
    </row>
    <row r="220" spans="1:7" ht="15" customHeight="1">
      <c r="A220" s="88" t="s">
        <v>326</v>
      </c>
      <c r="B220" s="122">
        <v>1</v>
      </c>
      <c r="C220" s="111" t="s">
        <v>86</v>
      </c>
      <c r="D220" s="111" t="s">
        <v>318</v>
      </c>
      <c r="E220" s="119" t="s">
        <v>334</v>
      </c>
      <c r="F220" s="102">
        <v>17500</v>
      </c>
      <c r="G220" s="102">
        <v>14000</v>
      </c>
    </row>
    <row r="221" spans="1:7" ht="33" customHeight="1">
      <c r="A221" s="88" t="s">
        <v>326</v>
      </c>
      <c r="B221" s="122">
        <v>1</v>
      </c>
      <c r="C221" s="111" t="s">
        <v>87</v>
      </c>
      <c r="D221" s="111" t="s">
        <v>318</v>
      </c>
      <c r="E221" s="119" t="s">
        <v>335</v>
      </c>
      <c r="F221" s="102">
        <v>19000</v>
      </c>
      <c r="G221" s="102">
        <f>15200-462.4</f>
        <v>14737.6</v>
      </c>
    </row>
    <row r="222" spans="1:7" ht="15">
      <c r="A222" s="88" t="s">
        <v>326</v>
      </c>
      <c r="B222" s="123">
        <v>1</v>
      </c>
      <c r="C222" s="63" t="s">
        <v>62</v>
      </c>
      <c r="D222" s="111" t="s">
        <v>318</v>
      </c>
      <c r="E222" s="120" t="s">
        <v>336</v>
      </c>
      <c r="F222" s="102">
        <v>36000</v>
      </c>
      <c r="G222" s="102">
        <v>28800</v>
      </c>
    </row>
    <row r="223" spans="1:7" ht="15">
      <c r="A223" s="88" t="s">
        <v>326</v>
      </c>
      <c r="B223" s="122">
        <v>1</v>
      </c>
      <c r="C223" s="111" t="s">
        <v>88</v>
      </c>
      <c r="D223" s="111" t="s">
        <v>318</v>
      </c>
      <c r="E223" s="119" t="s">
        <v>337</v>
      </c>
      <c r="F223" s="102">
        <v>45000</v>
      </c>
      <c r="G223" s="102">
        <v>36000</v>
      </c>
    </row>
    <row r="224" spans="1:7" ht="30" customHeight="1">
      <c r="A224" s="124" t="s">
        <v>328</v>
      </c>
      <c r="B224" s="97">
        <v>1</v>
      </c>
      <c r="C224" s="111" t="s">
        <v>303</v>
      </c>
      <c r="D224" s="111" t="s">
        <v>317</v>
      </c>
      <c r="E224" s="119" t="s">
        <v>83</v>
      </c>
      <c r="F224" s="102">
        <v>62436.74</v>
      </c>
      <c r="G224" s="102">
        <v>49949.39</v>
      </c>
    </row>
    <row r="225" spans="1:7" ht="45">
      <c r="A225" s="124" t="s">
        <v>329</v>
      </c>
      <c r="B225" s="97">
        <v>1</v>
      </c>
      <c r="C225" s="111" t="s">
        <v>303</v>
      </c>
      <c r="D225" s="111" t="s">
        <v>317</v>
      </c>
      <c r="E225" s="119" t="s">
        <v>84</v>
      </c>
      <c r="F225" s="102">
        <v>21591</v>
      </c>
      <c r="G225" s="102">
        <v>17272.8</v>
      </c>
    </row>
    <row r="226" spans="1:7" ht="15">
      <c r="A226" s="124" t="s">
        <v>89</v>
      </c>
      <c r="B226" s="97">
        <v>1</v>
      </c>
      <c r="C226" s="111" t="s">
        <v>304</v>
      </c>
      <c r="D226" s="111" t="s">
        <v>317</v>
      </c>
      <c r="E226" s="121" t="s">
        <v>90</v>
      </c>
      <c r="F226" s="102">
        <v>87500</v>
      </c>
      <c r="G226" s="102">
        <v>70000</v>
      </c>
    </row>
    <row r="227" spans="1:7" ht="15">
      <c r="A227" s="124" t="s">
        <v>89</v>
      </c>
      <c r="B227" s="97">
        <v>1</v>
      </c>
      <c r="C227" s="111" t="s">
        <v>304</v>
      </c>
      <c r="D227" s="111" t="s">
        <v>317</v>
      </c>
      <c r="E227" s="121" t="s">
        <v>91</v>
      </c>
      <c r="F227" s="102">
        <v>23000</v>
      </c>
      <c r="G227" s="102">
        <v>18400</v>
      </c>
    </row>
    <row r="228" spans="1:7" ht="15">
      <c r="A228" s="124" t="s">
        <v>116</v>
      </c>
      <c r="B228" s="97">
        <v>1</v>
      </c>
      <c r="C228" s="111" t="s">
        <v>303</v>
      </c>
      <c r="D228" s="111" t="s">
        <v>317</v>
      </c>
      <c r="E228" s="121" t="s">
        <v>327</v>
      </c>
      <c r="F228" s="102">
        <v>93102.66</v>
      </c>
      <c r="G228" s="102">
        <v>74482.13</v>
      </c>
    </row>
    <row r="229" spans="1:7" ht="30" customHeight="1">
      <c r="A229" s="124" t="s">
        <v>116</v>
      </c>
      <c r="B229" s="97">
        <v>1</v>
      </c>
      <c r="C229" s="125" t="s">
        <v>109</v>
      </c>
      <c r="D229" s="107" t="s">
        <v>318</v>
      </c>
      <c r="E229" s="121" t="s">
        <v>327</v>
      </c>
      <c r="F229" s="102">
        <v>123016.56</v>
      </c>
      <c r="G229" s="102">
        <f>135200-36786.75</f>
        <v>98413.25</v>
      </c>
    </row>
    <row r="230" spans="1:7" ht="15">
      <c r="A230" s="124" t="s">
        <v>115</v>
      </c>
      <c r="B230" s="97">
        <v>1</v>
      </c>
      <c r="C230" s="111" t="s">
        <v>47</v>
      </c>
      <c r="D230" s="111" t="s">
        <v>317</v>
      </c>
      <c r="E230" s="121" t="s">
        <v>103</v>
      </c>
      <c r="F230" s="102">
        <v>23553.03</v>
      </c>
      <c r="G230" s="102">
        <v>18842.42</v>
      </c>
    </row>
    <row r="231" spans="1:7" ht="30.75" customHeight="1">
      <c r="A231" s="124" t="s">
        <v>89</v>
      </c>
      <c r="B231" s="97">
        <v>1</v>
      </c>
      <c r="C231" s="125" t="s">
        <v>109</v>
      </c>
      <c r="D231" s="107" t="s">
        <v>318</v>
      </c>
      <c r="E231" s="121" t="s">
        <v>92</v>
      </c>
      <c r="F231" s="102">
        <v>130000</v>
      </c>
      <c r="G231" s="102">
        <v>104000</v>
      </c>
    </row>
    <row r="232" spans="1:7" ht="27" customHeight="1">
      <c r="A232" s="117"/>
      <c r="B232" s="126">
        <f>SUM(B215:B231)</f>
        <v>17</v>
      </c>
      <c r="C232" s="158" t="s">
        <v>338</v>
      </c>
      <c r="D232" s="159"/>
      <c r="E232" s="160"/>
      <c r="F232" s="105">
        <f>SUM(F215:F231)</f>
        <v>893636.1699999999</v>
      </c>
      <c r="G232" s="105">
        <f>SUM(G215:G231)</f>
        <v>714446.5300000001</v>
      </c>
    </row>
    <row r="233" spans="1:7" ht="15.75" hidden="1">
      <c r="A233" s="161" t="s">
        <v>93</v>
      </c>
      <c r="B233" s="161"/>
      <c r="C233" s="161"/>
      <c r="D233" s="61"/>
      <c r="E233" s="79"/>
      <c r="F233" s="82" t="e">
        <f>#REF!+#REF!+F138+F158+F164+F167+#REF!+#REF!</f>
        <v>#REF!</v>
      </c>
      <c r="G233" s="82" t="e">
        <f>#REF!+#REF!+G138+G158+G164+G167+#REF!+#REF!</f>
        <v>#REF!</v>
      </c>
    </row>
    <row r="234" spans="1:7" ht="15">
      <c r="A234" s="141" t="s">
        <v>94</v>
      </c>
      <c r="B234" s="142"/>
      <c r="C234" s="142"/>
      <c r="D234" s="142"/>
      <c r="E234" s="142"/>
      <c r="F234" s="142"/>
      <c r="G234" s="142"/>
    </row>
    <row r="235" spans="1:7" ht="15" customHeight="1">
      <c r="A235" s="127" t="s">
        <v>339</v>
      </c>
      <c r="B235" s="97">
        <v>1</v>
      </c>
      <c r="C235" s="109" t="s">
        <v>47</v>
      </c>
      <c r="D235" s="111"/>
      <c r="E235" s="69" t="s">
        <v>213</v>
      </c>
      <c r="F235" s="102">
        <v>90000</v>
      </c>
      <c r="G235" s="102">
        <f>19469.85+70525.8</f>
        <v>89995.65</v>
      </c>
    </row>
    <row r="236" spans="1:7" ht="45">
      <c r="A236" s="127" t="s">
        <v>339</v>
      </c>
      <c r="B236" s="97">
        <v>1</v>
      </c>
      <c r="C236" s="109" t="s">
        <v>47</v>
      </c>
      <c r="D236" s="111"/>
      <c r="E236" s="69" t="s">
        <v>340</v>
      </c>
      <c r="F236" s="102">
        <f>72500+46942.43</f>
        <v>119442.43</v>
      </c>
      <c r="G236" s="102">
        <f>58000+46942.43</f>
        <v>104942.43</v>
      </c>
    </row>
    <row r="237" spans="1:7" ht="15">
      <c r="A237" s="127" t="s">
        <v>339</v>
      </c>
      <c r="B237" s="97">
        <v>1</v>
      </c>
      <c r="C237" s="109" t="s">
        <v>47</v>
      </c>
      <c r="D237" s="111"/>
      <c r="E237" s="69" t="s">
        <v>97</v>
      </c>
      <c r="F237" s="102">
        <f>42000+52993.22</f>
        <v>94993.22</v>
      </c>
      <c r="G237" s="102">
        <f>33600+42394.58</f>
        <v>75994.58</v>
      </c>
    </row>
    <row r="238" spans="1:7" ht="15">
      <c r="A238" s="127" t="s">
        <v>339</v>
      </c>
      <c r="B238" s="97">
        <v>1</v>
      </c>
      <c r="C238" s="109" t="s">
        <v>47</v>
      </c>
      <c r="D238" s="111"/>
      <c r="E238" s="69" t="s">
        <v>98</v>
      </c>
      <c r="F238" s="102">
        <f>72000+52247.45</f>
        <v>124247.45</v>
      </c>
      <c r="G238" s="102">
        <f>57600+41797.96</f>
        <v>99397.95999999999</v>
      </c>
    </row>
    <row r="239" spans="1:7" ht="30">
      <c r="A239" s="127" t="s">
        <v>339</v>
      </c>
      <c r="B239" s="97">
        <v>1</v>
      </c>
      <c r="C239" s="109" t="s">
        <v>47</v>
      </c>
      <c r="D239" s="111"/>
      <c r="E239" s="69" t="s">
        <v>341</v>
      </c>
      <c r="F239" s="102">
        <v>133944.61</v>
      </c>
      <c r="G239" s="102">
        <v>133944.61</v>
      </c>
    </row>
    <row r="240" spans="1:7" ht="15">
      <c r="A240" s="127" t="s">
        <v>339</v>
      </c>
      <c r="B240" s="97">
        <v>1</v>
      </c>
      <c r="C240" s="109" t="s">
        <v>47</v>
      </c>
      <c r="D240" s="111"/>
      <c r="E240" s="69" t="s">
        <v>342</v>
      </c>
      <c r="F240" s="102">
        <v>212500</v>
      </c>
      <c r="G240" s="102">
        <v>170000</v>
      </c>
    </row>
    <row r="241" spans="1:7" ht="15" customHeight="1">
      <c r="A241" s="33"/>
      <c r="B241" s="37">
        <f>SUM(B235:B240)</f>
        <v>6</v>
      </c>
      <c r="C241" s="132" t="s">
        <v>104</v>
      </c>
      <c r="D241" s="133"/>
      <c r="E241" s="134"/>
      <c r="F241" s="105">
        <f>SUM(F235:F240)</f>
        <v>775127.71</v>
      </c>
      <c r="G241" s="105">
        <f>SUM(G235:G240)</f>
        <v>674275.23</v>
      </c>
    </row>
    <row r="242" spans="1:7" ht="26.25" customHeight="1">
      <c r="A242" s="141" t="s">
        <v>95</v>
      </c>
      <c r="B242" s="142"/>
      <c r="C242" s="142"/>
      <c r="D242" s="142"/>
      <c r="E242" s="142"/>
      <c r="F242" s="142"/>
      <c r="G242" s="142"/>
    </row>
    <row r="243" spans="1:7" ht="24">
      <c r="A243" s="46">
        <v>431</v>
      </c>
      <c r="B243" s="32">
        <v>1</v>
      </c>
      <c r="C243" s="67" t="s">
        <v>47</v>
      </c>
      <c r="D243" s="67"/>
      <c r="E243" s="80" t="s">
        <v>99</v>
      </c>
      <c r="F243" s="102">
        <v>614384.29</v>
      </c>
      <c r="G243" s="102">
        <f>F243</f>
        <v>614384.29</v>
      </c>
    </row>
    <row r="244" spans="1:7" ht="24">
      <c r="A244" s="46">
        <v>431</v>
      </c>
      <c r="B244" s="32">
        <v>1</v>
      </c>
      <c r="C244" s="67" t="s">
        <v>47</v>
      </c>
      <c r="D244" s="67"/>
      <c r="E244" s="80" t="s">
        <v>100</v>
      </c>
      <c r="F244" s="102">
        <v>151760.22</v>
      </c>
      <c r="G244" s="102">
        <f>F244</f>
        <v>151760.22</v>
      </c>
    </row>
    <row r="245" spans="1:7" ht="24">
      <c r="A245" s="46">
        <v>431</v>
      </c>
      <c r="B245" s="32">
        <v>1</v>
      </c>
      <c r="C245" s="67" t="s">
        <v>47</v>
      </c>
      <c r="D245" s="67"/>
      <c r="E245" s="80" t="s">
        <v>101</v>
      </c>
      <c r="F245" s="102">
        <f>78334.58+117713.75</f>
        <v>196048.33000000002</v>
      </c>
      <c r="G245" s="102">
        <f>F245</f>
        <v>196048.33000000002</v>
      </c>
    </row>
    <row r="246" spans="1:7" ht="24">
      <c r="A246" s="46">
        <v>431</v>
      </c>
      <c r="B246" s="32">
        <v>1</v>
      </c>
      <c r="C246" s="67" t="s">
        <v>47</v>
      </c>
      <c r="D246" s="67"/>
      <c r="E246" s="80" t="s">
        <v>102</v>
      </c>
      <c r="F246" s="102">
        <v>491615.71</v>
      </c>
      <c r="G246" s="102">
        <v>489014.27</v>
      </c>
    </row>
    <row r="247" spans="1:7" ht="15" customHeight="1">
      <c r="A247" s="40"/>
      <c r="B247" s="38">
        <f>SUM(B243:B246)</f>
        <v>4</v>
      </c>
      <c r="C247" s="132" t="s">
        <v>214</v>
      </c>
      <c r="D247" s="133"/>
      <c r="E247" s="134"/>
      <c r="F247" s="105">
        <f>SUM(F243:F246)</f>
        <v>1453808.55</v>
      </c>
      <c r="G247" s="105">
        <f>SUM(G243:G246)</f>
        <v>1451207.11</v>
      </c>
    </row>
    <row r="248" spans="1:7" ht="32.25" customHeight="1">
      <c r="A248" s="47"/>
      <c r="B248" s="48">
        <f>B247+B241+B232+B214+B192+B183+B167+B164+B158+B150+B138+B129+B107</f>
        <v>211</v>
      </c>
      <c r="C248" s="143" t="s">
        <v>343</v>
      </c>
      <c r="D248" s="144"/>
      <c r="E248" s="145"/>
      <c r="F248" s="83">
        <f>F247+F241+F232+F214+F192+F183+F167+F164+F158+F150+F138+F129+F107</f>
        <v>23578463.546557378</v>
      </c>
      <c r="G248" s="83">
        <f>G247+G241+G232+G214+G192+G183+G167+G164+G158+G150+G138+G129+G107</f>
        <v>12610429.030079518</v>
      </c>
    </row>
    <row r="251" ht="15">
      <c r="F251" s="128"/>
    </row>
  </sheetData>
  <sheetProtection password="8759" sheet="1"/>
  <mergeCells count="33">
    <mergeCell ref="B42:B43"/>
    <mergeCell ref="A139:G139"/>
    <mergeCell ref="C158:E158"/>
    <mergeCell ref="A159:G159"/>
    <mergeCell ref="A130:G130"/>
    <mergeCell ref="E42:E43"/>
    <mergeCell ref="C138:E138"/>
    <mergeCell ref="A108:G108"/>
    <mergeCell ref="A131:G131"/>
    <mergeCell ref="A234:G234"/>
    <mergeCell ref="C232:E232"/>
    <mergeCell ref="C107:E107"/>
    <mergeCell ref="A233:C233"/>
    <mergeCell ref="A168:G168"/>
    <mergeCell ref="C248:E248"/>
    <mergeCell ref="A2:G2"/>
    <mergeCell ref="C42:C43"/>
    <mergeCell ref="A4:G4"/>
    <mergeCell ref="A5:G5"/>
    <mergeCell ref="C129:E129"/>
    <mergeCell ref="A151:G151"/>
    <mergeCell ref="A165:G165"/>
    <mergeCell ref="C150:E150"/>
    <mergeCell ref="A160:G160"/>
    <mergeCell ref="C164:E164"/>
    <mergeCell ref="C167:E167"/>
    <mergeCell ref="C183:E183"/>
    <mergeCell ref="C214:E214"/>
    <mergeCell ref="C241:E241"/>
    <mergeCell ref="C247:E247"/>
    <mergeCell ref="A242:G242"/>
    <mergeCell ref="A184:G184"/>
    <mergeCell ref="C192:E192"/>
  </mergeCells>
  <printOptions horizontalCentered="1" verticalCentered="1"/>
  <pageMargins left="0.11811023622047245" right="0.1968503937007874" top="0.5511811023622047" bottom="0.5118110236220472" header="0.31496062992125984" footer="0.31496062992125984"/>
  <pageSetup horizontalDpi="600" verticalDpi="600" orientation="portrait" paperSize="8" scale="75" r:id="rId1"/>
  <headerFooter>
    <oddHeader>&amp;CPROSPETTO PROGETTI &amp;14FINANZIATI ASSE 4 LEADER 2007-2013 
aggiornati al 30.09.2015&amp;11
</oddHeader>
    <oddFooter>&amp;LOstellato, ottobre 2015&amp;R&amp;P</oddFooter>
  </headerFooter>
  <rowBreaks count="2" manualBreakCount="2">
    <brk id="158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paola.palmonari</dc:creator>
  <cp:keywords/>
  <dc:description/>
  <cp:lastModifiedBy>chiara.longhi</cp:lastModifiedBy>
  <cp:lastPrinted>2016-03-11T11:01:40Z</cp:lastPrinted>
  <dcterms:created xsi:type="dcterms:W3CDTF">2013-05-02T13:35:55Z</dcterms:created>
  <dcterms:modified xsi:type="dcterms:W3CDTF">2016-03-11T12:33:43Z</dcterms:modified>
  <cp:category/>
  <cp:version/>
  <cp:contentType/>
  <cp:contentStatus/>
</cp:coreProperties>
</file>